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Корректировка Смет по замечаниям\13.  Реконструкция КЛ-0,4кВ ул.Центральная 8 - ул.Центральная 6 Корректировка\"/>
    </mc:Choice>
  </mc:AlternateContent>
  <bookViews>
    <workbookView xWindow="0" yWindow="0" windowWidth="1980" windowHeight="1176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ТСН-2001'!$38:$38</definedName>
    <definedName name="_xlnm.Print_Titles" localSheetId="0">'Смета по ТСН-2001'!$31:$31</definedName>
    <definedName name="_xlnm.Print_Area" localSheetId="1">'Акт КС-2 по ТСН-2001'!$A$1:$L$158</definedName>
    <definedName name="_xlnm.Print_Area" localSheetId="0">'Смета по ТСН-2001'!$A$1:$K$151</definedName>
  </definedNames>
  <calcPr calcId="162913"/>
</workbook>
</file>

<file path=xl/calcChain.xml><?xml version="1.0" encoding="utf-8"?>
<calcChain xmlns="http://schemas.openxmlformats.org/spreadsheetml/2006/main">
  <c r="A11" i="5" l="1"/>
  <c r="A1" i="7" l="1"/>
  <c r="I155" i="6"/>
  <c r="I152" i="6"/>
  <c r="D155" i="6"/>
  <c r="D152" i="6"/>
  <c r="D149" i="6"/>
  <c r="D148" i="6"/>
  <c r="D147" i="6"/>
  <c r="J146" i="6"/>
  <c r="K146" i="6"/>
  <c r="J145" i="6"/>
  <c r="K145" i="6"/>
  <c r="J142" i="6"/>
  <c r="K142" i="6"/>
  <c r="J141" i="6"/>
  <c r="K141" i="6"/>
  <c r="AA138" i="6"/>
  <c r="Z138" i="6"/>
  <c r="Y138" i="6"/>
  <c r="I137" i="6"/>
  <c r="H137" i="6"/>
  <c r="F137" i="6"/>
  <c r="K136" i="6"/>
  <c r="F136" i="6"/>
  <c r="K135" i="6"/>
  <c r="F135" i="6"/>
  <c r="K134" i="6"/>
  <c r="I134" i="6"/>
  <c r="AA134" i="6"/>
  <c r="Z134" i="6"/>
  <c r="Y134" i="6"/>
  <c r="G134" i="6"/>
  <c r="E134" i="6"/>
  <c r="C134" i="6"/>
  <c r="B134" i="6"/>
  <c r="K133" i="6"/>
  <c r="I133" i="6"/>
  <c r="H133" i="6"/>
  <c r="G133" i="6"/>
  <c r="K132" i="6"/>
  <c r="I132" i="6"/>
  <c r="H132" i="6"/>
  <c r="G132" i="6"/>
  <c r="E131" i="6"/>
  <c r="C131" i="6"/>
  <c r="B131" i="6"/>
  <c r="AA130" i="6"/>
  <c r="Z130" i="6"/>
  <c r="Y130" i="6"/>
  <c r="I129" i="6"/>
  <c r="H129" i="6"/>
  <c r="F129" i="6"/>
  <c r="K128" i="6"/>
  <c r="F128" i="6"/>
  <c r="K127" i="6"/>
  <c r="F127" i="6"/>
  <c r="K126" i="6"/>
  <c r="I126" i="6"/>
  <c r="AA126" i="6"/>
  <c r="Z126" i="6"/>
  <c r="Y126" i="6"/>
  <c r="G126" i="6"/>
  <c r="E126" i="6"/>
  <c r="C126" i="6"/>
  <c r="B126" i="6"/>
  <c r="K125" i="6"/>
  <c r="I125" i="6"/>
  <c r="H125" i="6"/>
  <c r="G125" i="6"/>
  <c r="E123" i="6"/>
  <c r="C123" i="6"/>
  <c r="B123" i="6"/>
  <c r="AA122" i="6"/>
  <c r="Z122" i="6"/>
  <c r="Y122" i="6"/>
  <c r="I121" i="6"/>
  <c r="H121" i="6"/>
  <c r="F121" i="6"/>
  <c r="K120" i="6"/>
  <c r="F120" i="6"/>
  <c r="K119" i="6"/>
  <c r="F119" i="6"/>
  <c r="K118" i="6"/>
  <c r="F118" i="6"/>
  <c r="K117" i="6"/>
  <c r="I117" i="6"/>
  <c r="AA117" i="6"/>
  <c r="Z117" i="6"/>
  <c r="Y117" i="6"/>
  <c r="G117" i="6"/>
  <c r="E117" i="6"/>
  <c r="C117" i="6"/>
  <c r="B117" i="6"/>
  <c r="K116" i="6"/>
  <c r="I116" i="6"/>
  <c r="H116" i="6"/>
  <c r="G116" i="6"/>
  <c r="K115" i="6"/>
  <c r="I115" i="6"/>
  <c r="H115" i="6"/>
  <c r="G115" i="6"/>
  <c r="K114" i="6"/>
  <c r="I114" i="6"/>
  <c r="H114" i="6"/>
  <c r="G114" i="6"/>
  <c r="K113" i="6"/>
  <c r="I113" i="6"/>
  <c r="H113" i="6"/>
  <c r="G113" i="6"/>
  <c r="E111" i="6"/>
  <c r="C111" i="6"/>
  <c r="B111" i="6"/>
  <c r="AA110" i="6"/>
  <c r="Z110" i="6"/>
  <c r="Y110" i="6"/>
  <c r="I109" i="6"/>
  <c r="H109" i="6"/>
  <c r="F109" i="6"/>
  <c r="K108" i="6"/>
  <c r="F108" i="6"/>
  <c r="K107" i="6"/>
  <c r="F107" i="6"/>
  <c r="K106" i="6"/>
  <c r="I106" i="6"/>
  <c r="H106" i="6"/>
  <c r="G106" i="6"/>
  <c r="E104" i="6"/>
  <c r="C104" i="6"/>
  <c r="B104" i="6"/>
  <c r="AA103" i="6"/>
  <c r="Z103" i="6"/>
  <c r="Y103" i="6"/>
  <c r="I102" i="6"/>
  <c r="H102" i="6"/>
  <c r="F102" i="6"/>
  <c r="K101" i="6"/>
  <c r="F101" i="6"/>
  <c r="K100" i="6"/>
  <c r="F100" i="6"/>
  <c r="K99" i="6"/>
  <c r="F99" i="6"/>
  <c r="K98" i="6"/>
  <c r="I98" i="6"/>
  <c r="AA98" i="6"/>
  <c r="Z98" i="6"/>
  <c r="Y98" i="6"/>
  <c r="G98" i="6"/>
  <c r="E98" i="6"/>
  <c r="C98" i="6"/>
  <c r="B98" i="6"/>
  <c r="K97" i="6"/>
  <c r="I97" i="6"/>
  <c r="H97" i="6"/>
  <c r="G97" i="6"/>
  <c r="K96" i="6"/>
  <c r="I96" i="6"/>
  <c r="H96" i="6"/>
  <c r="G96" i="6"/>
  <c r="K95" i="6"/>
  <c r="I95" i="6"/>
  <c r="H95" i="6"/>
  <c r="G95" i="6"/>
  <c r="K94" i="6"/>
  <c r="I94" i="6"/>
  <c r="H94" i="6"/>
  <c r="G94" i="6"/>
  <c r="E93" i="6"/>
  <c r="C93" i="6"/>
  <c r="B93" i="6"/>
  <c r="AA92" i="6"/>
  <c r="Z92" i="6"/>
  <c r="Y92" i="6"/>
  <c r="I91" i="6"/>
  <c r="H91" i="6"/>
  <c r="F91" i="6"/>
  <c r="K90" i="6"/>
  <c r="F90" i="6"/>
  <c r="K89" i="6"/>
  <c r="F89" i="6"/>
  <c r="K88" i="6"/>
  <c r="F88" i="6"/>
  <c r="K87" i="6"/>
  <c r="I87" i="6"/>
  <c r="H87" i="6"/>
  <c r="G87" i="6"/>
  <c r="K86" i="6"/>
  <c r="I86" i="6"/>
  <c r="H86" i="6"/>
  <c r="G86" i="6"/>
  <c r="K85" i="6"/>
  <c r="I85" i="6"/>
  <c r="H85" i="6"/>
  <c r="G85" i="6"/>
  <c r="K84" i="6"/>
  <c r="I84" i="6"/>
  <c r="H84" i="6"/>
  <c r="G84" i="6"/>
  <c r="E83" i="6"/>
  <c r="C83" i="6"/>
  <c r="B83" i="6"/>
  <c r="AA82" i="6"/>
  <c r="Z82" i="6"/>
  <c r="Y82" i="6"/>
  <c r="I81" i="6"/>
  <c r="H81" i="6"/>
  <c r="F81" i="6"/>
  <c r="K80" i="6"/>
  <c r="F80" i="6"/>
  <c r="K79" i="6"/>
  <c r="F79" i="6"/>
  <c r="K78" i="6"/>
  <c r="F78" i="6"/>
  <c r="K77" i="6"/>
  <c r="I77" i="6"/>
  <c r="H77" i="6"/>
  <c r="G77" i="6"/>
  <c r="K76" i="6"/>
  <c r="I76" i="6"/>
  <c r="H76" i="6"/>
  <c r="G76" i="6"/>
  <c r="K75" i="6"/>
  <c r="I75" i="6"/>
  <c r="H75" i="6"/>
  <c r="G75" i="6"/>
  <c r="E73" i="6"/>
  <c r="C73" i="6"/>
  <c r="B73" i="6"/>
  <c r="AA72" i="6"/>
  <c r="Z72" i="6"/>
  <c r="Y72" i="6"/>
  <c r="I71" i="6"/>
  <c r="H71" i="6"/>
  <c r="F71" i="6"/>
  <c r="K70" i="6"/>
  <c r="F70" i="6"/>
  <c r="K69" i="6"/>
  <c r="F69" i="6"/>
  <c r="K68" i="6"/>
  <c r="F68" i="6"/>
  <c r="K67" i="6"/>
  <c r="I67" i="6"/>
  <c r="AA67" i="6"/>
  <c r="Z67" i="6"/>
  <c r="Y67" i="6"/>
  <c r="G67" i="6"/>
  <c r="E67" i="6"/>
  <c r="C67" i="6"/>
  <c r="B67" i="6"/>
  <c r="K66" i="6"/>
  <c r="I66" i="6"/>
  <c r="H66" i="6"/>
  <c r="G66" i="6"/>
  <c r="K65" i="6"/>
  <c r="I65" i="6"/>
  <c r="H65" i="6"/>
  <c r="G65" i="6"/>
  <c r="K64" i="6"/>
  <c r="I64" i="6"/>
  <c r="H64" i="6"/>
  <c r="G64" i="6"/>
  <c r="K63" i="6"/>
  <c r="I63" i="6"/>
  <c r="H63" i="6"/>
  <c r="G63" i="6"/>
  <c r="E61" i="6"/>
  <c r="C61" i="6"/>
  <c r="B61" i="6"/>
  <c r="AA60" i="6"/>
  <c r="Z60" i="6"/>
  <c r="Y60" i="6"/>
  <c r="I59" i="6"/>
  <c r="H59" i="6"/>
  <c r="F59" i="6"/>
  <c r="K58" i="6"/>
  <c r="F58" i="6"/>
  <c r="K57" i="6"/>
  <c r="F57" i="6"/>
  <c r="K56" i="6"/>
  <c r="F56" i="6"/>
  <c r="K55" i="6"/>
  <c r="I55" i="6"/>
  <c r="AA55" i="6"/>
  <c r="Z55" i="6"/>
  <c r="Y55" i="6"/>
  <c r="G55" i="6"/>
  <c r="E55" i="6"/>
  <c r="C55" i="6"/>
  <c r="B55" i="6"/>
  <c r="K54" i="6"/>
  <c r="I54" i="6"/>
  <c r="H54" i="6"/>
  <c r="G54" i="6"/>
  <c r="K53" i="6"/>
  <c r="I53" i="6"/>
  <c r="H53" i="6"/>
  <c r="G53" i="6"/>
  <c r="K52" i="6"/>
  <c r="I52" i="6"/>
  <c r="H52" i="6"/>
  <c r="G52" i="6"/>
  <c r="K51" i="6"/>
  <c r="I51" i="6"/>
  <c r="H51" i="6"/>
  <c r="G51" i="6"/>
  <c r="E49" i="6"/>
  <c r="C49" i="6"/>
  <c r="B49" i="6"/>
  <c r="AA48" i="6"/>
  <c r="Z48" i="6"/>
  <c r="Y48" i="6"/>
  <c r="I47" i="6"/>
  <c r="H47" i="6"/>
  <c r="F47" i="6"/>
  <c r="K46" i="6"/>
  <c r="F46" i="6"/>
  <c r="K45" i="6"/>
  <c r="F45" i="6"/>
  <c r="K44" i="6"/>
  <c r="F44" i="6"/>
  <c r="K43" i="6"/>
  <c r="I43" i="6"/>
  <c r="H43" i="6"/>
  <c r="G43" i="6"/>
  <c r="K42" i="6"/>
  <c r="I42" i="6"/>
  <c r="H42" i="6"/>
  <c r="G42" i="6"/>
  <c r="K41" i="6"/>
  <c r="I41" i="6"/>
  <c r="H41" i="6"/>
  <c r="G41" i="6"/>
  <c r="E39" i="6"/>
  <c r="C39" i="6"/>
  <c r="B39" i="6"/>
  <c r="G26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150" i="5"/>
  <c r="H147" i="5"/>
  <c r="C150" i="5"/>
  <c r="C147" i="5"/>
  <c r="C144" i="5"/>
  <c r="C143" i="5"/>
  <c r="C142" i="5"/>
  <c r="J28" i="5"/>
  <c r="I28" i="5"/>
  <c r="I141" i="5"/>
  <c r="J141" i="5"/>
  <c r="I140" i="5"/>
  <c r="J140" i="5"/>
  <c r="I137" i="5"/>
  <c r="J137" i="5"/>
  <c r="I136" i="5"/>
  <c r="J136" i="5"/>
  <c r="AA133" i="5"/>
  <c r="Z133" i="5"/>
  <c r="Y133" i="5"/>
  <c r="H132" i="5"/>
  <c r="G132" i="5"/>
  <c r="E132" i="5"/>
  <c r="J131" i="5"/>
  <c r="E131" i="5"/>
  <c r="J130" i="5"/>
  <c r="E130" i="5"/>
  <c r="J129" i="5"/>
  <c r="H129" i="5"/>
  <c r="AA129" i="5"/>
  <c r="Z129" i="5"/>
  <c r="Y129" i="5"/>
  <c r="F129" i="5"/>
  <c r="D129" i="5"/>
  <c r="B129" i="5"/>
  <c r="A129" i="5"/>
  <c r="J128" i="5"/>
  <c r="H128" i="5"/>
  <c r="G128" i="5"/>
  <c r="F128" i="5"/>
  <c r="J127" i="5"/>
  <c r="H127" i="5"/>
  <c r="G127" i="5"/>
  <c r="F127" i="5"/>
  <c r="D126" i="5"/>
  <c r="B126" i="5"/>
  <c r="A126" i="5"/>
  <c r="AA125" i="5"/>
  <c r="Z125" i="5"/>
  <c r="Y125" i="5"/>
  <c r="H124" i="5"/>
  <c r="G124" i="5"/>
  <c r="E124" i="5"/>
  <c r="J123" i="5"/>
  <c r="E123" i="5"/>
  <c r="J122" i="5"/>
  <c r="E122" i="5"/>
  <c r="J121" i="5"/>
  <c r="H121" i="5"/>
  <c r="AA121" i="5"/>
  <c r="Z121" i="5"/>
  <c r="Y121" i="5"/>
  <c r="F121" i="5"/>
  <c r="D121" i="5"/>
  <c r="B121" i="5"/>
  <c r="A121" i="5"/>
  <c r="J120" i="5"/>
  <c r="H120" i="5"/>
  <c r="G120" i="5"/>
  <c r="F120" i="5"/>
  <c r="D118" i="5"/>
  <c r="B118" i="5"/>
  <c r="A118" i="5"/>
  <c r="AA117" i="5"/>
  <c r="Z117" i="5"/>
  <c r="Y117" i="5"/>
  <c r="H116" i="5"/>
  <c r="G116" i="5"/>
  <c r="E116" i="5"/>
  <c r="J115" i="5"/>
  <c r="E115" i="5"/>
  <c r="J114" i="5"/>
  <c r="E114" i="5"/>
  <c r="J113" i="5"/>
  <c r="E113" i="5"/>
  <c r="J112" i="5"/>
  <c r="H112" i="5"/>
  <c r="AA112" i="5"/>
  <c r="Z112" i="5"/>
  <c r="Y112" i="5"/>
  <c r="F112" i="5"/>
  <c r="D112" i="5"/>
  <c r="B112" i="5"/>
  <c r="A112" i="5"/>
  <c r="J111" i="5"/>
  <c r="H111" i="5"/>
  <c r="G111" i="5"/>
  <c r="F111" i="5"/>
  <c r="J110" i="5"/>
  <c r="H110" i="5"/>
  <c r="G110" i="5"/>
  <c r="F110" i="5"/>
  <c r="J109" i="5"/>
  <c r="H109" i="5"/>
  <c r="G109" i="5"/>
  <c r="F109" i="5"/>
  <c r="J108" i="5"/>
  <c r="H108" i="5"/>
  <c r="G108" i="5"/>
  <c r="F108" i="5"/>
  <c r="D106" i="5"/>
  <c r="B106" i="5"/>
  <c r="A106" i="5"/>
  <c r="AA105" i="5"/>
  <c r="Z105" i="5"/>
  <c r="Y105" i="5"/>
  <c r="H104" i="5"/>
  <c r="G104" i="5"/>
  <c r="E104" i="5"/>
  <c r="J103" i="5"/>
  <c r="E103" i="5"/>
  <c r="J102" i="5"/>
  <c r="E102" i="5"/>
  <c r="J101" i="5"/>
  <c r="H101" i="5"/>
  <c r="G101" i="5"/>
  <c r="F101" i="5"/>
  <c r="D99" i="5"/>
  <c r="B99" i="5"/>
  <c r="A99" i="5"/>
  <c r="AA98" i="5"/>
  <c r="Z98" i="5"/>
  <c r="Y98" i="5"/>
  <c r="H97" i="5"/>
  <c r="G97" i="5"/>
  <c r="E97" i="5"/>
  <c r="J96" i="5"/>
  <c r="E96" i="5"/>
  <c r="J95" i="5"/>
  <c r="E95" i="5"/>
  <c r="J94" i="5"/>
  <c r="E94" i="5"/>
  <c r="J93" i="5"/>
  <c r="H93" i="5"/>
  <c r="AA93" i="5"/>
  <c r="Z93" i="5"/>
  <c r="Y93" i="5"/>
  <c r="F93" i="5"/>
  <c r="D93" i="5"/>
  <c r="B93" i="5"/>
  <c r="A93" i="5"/>
  <c r="J92" i="5"/>
  <c r="H92" i="5"/>
  <c r="G92" i="5"/>
  <c r="F92" i="5"/>
  <c r="J91" i="5"/>
  <c r="H91" i="5"/>
  <c r="G91" i="5"/>
  <c r="F91" i="5"/>
  <c r="J90" i="5"/>
  <c r="H90" i="5"/>
  <c r="G90" i="5"/>
  <c r="F90" i="5"/>
  <c r="J89" i="5"/>
  <c r="H89" i="5"/>
  <c r="G89" i="5"/>
  <c r="F89" i="5"/>
  <c r="D88" i="5"/>
  <c r="B88" i="5"/>
  <c r="A88" i="5"/>
  <c r="AA87" i="5"/>
  <c r="Z87" i="5"/>
  <c r="Y87" i="5"/>
  <c r="H86" i="5"/>
  <c r="G86" i="5"/>
  <c r="E86" i="5"/>
  <c r="J85" i="5"/>
  <c r="E85" i="5"/>
  <c r="J84" i="5"/>
  <c r="E84" i="5"/>
  <c r="J83" i="5"/>
  <c r="E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D78" i="5"/>
  <c r="B78" i="5"/>
  <c r="A78" i="5"/>
  <c r="AA77" i="5"/>
  <c r="Z77" i="5"/>
  <c r="Y77" i="5"/>
  <c r="H76" i="5"/>
  <c r="G76" i="5"/>
  <c r="E76" i="5"/>
  <c r="J75" i="5"/>
  <c r="E75" i="5"/>
  <c r="J74" i="5"/>
  <c r="E74" i="5"/>
  <c r="J73" i="5"/>
  <c r="E73" i="5"/>
  <c r="J72" i="5"/>
  <c r="H72" i="5"/>
  <c r="G72" i="5"/>
  <c r="F72" i="5"/>
  <c r="J71" i="5"/>
  <c r="H71" i="5"/>
  <c r="G71" i="5"/>
  <c r="F71" i="5"/>
  <c r="J70" i="5"/>
  <c r="H70" i="5"/>
  <c r="G70" i="5"/>
  <c r="F70" i="5"/>
  <c r="D68" i="5"/>
  <c r="B68" i="5"/>
  <c r="A68" i="5"/>
  <c r="AA67" i="5"/>
  <c r="Z67" i="5"/>
  <c r="Y67" i="5"/>
  <c r="H66" i="5"/>
  <c r="G66" i="5"/>
  <c r="E66" i="5"/>
  <c r="J65" i="5"/>
  <c r="E65" i="5"/>
  <c r="J64" i="5"/>
  <c r="E64" i="5"/>
  <c r="J63" i="5"/>
  <c r="E63" i="5"/>
  <c r="J62" i="5"/>
  <c r="H62" i="5"/>
  <c r="AA62" i="5"/>
  <c r="Z62" i="5"/>
  <c r="Y62" i="5"/>
  <c r="F62" i="5"/>
  <c r="D62" i="5"/>
  <c r="B62" i="5"/>
  <c r="A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D56" i="5"/>
  <c r="B56" i="5"/>
  <c r="A56" i="5"/>
  <c r="AA55" i="5"/>
  <c r="Z55" i="5"/>
  <c r="Y55" i="5"/>
  <c r="H54" i="5"/>
  <c r="G54" i="5"/>
  <c r="E54" i="5"/>
  <c r="J53" i="5"/>
  <c r="E53" i="5"/>
  <c r="J52" i="5"/>
  <c r="E52" i="5"/>
  <c r="J51" i="5"/>
  <c r="E51" i="5"/>
  <c r="J50" i="5"/>
  <c r="H50" i="5"/>
  <c r="AA50" i="5"/>
  <c r="Z50" i="5"/>
  <c r="Y50" i="5"/>
  <c r="F50" i="5"/>
  <c r="D50" i="5"/>
  <c r="B50" i="5"/>
  <c r="A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D44" i="5"/>
  <c r="B44" i="5"/>
  <c r="A44" i="5"/>
  <c r="AA43" i="5"/>
  <c r="I25" i="5" s="1"/>
  <c r="Z43" i="5"/>
  <c r="Y43" i="5"/>
  <c r="H42" i="5"/>
  <c r="G42" i="5"/>
  <c r="E42" i="5"/>
  <c r="J41" i="5"/>
  <c r="E41" i="5"/>
  <c r="J40" i="5"/>
  <c r="E40" i="5"/>
  <c r="J39" i="5"/>
  <c r="E39" i="5"/>
  <c r="J38" i="5"/>
  <c r="H38" i="5"/>
  <c r="G38" i="5"/>
  <c r="F38" i="5"/>
  <c r="J37" i="5"/>
  <c r="H37" i="5"/>
  <c r="G37" i="5"/>
  <c r="F37" i="5"/>
  <c r="J36" i="5"/>
  <c r="H36" i="5"/>
  <c r="G36" i="5"/>
  <c r="F36" i="5"/>
  <c r="D34" i="5"/>
  <c r="B34" i="5"/>
  <c r="A34" i="5"/>
  <c r="A33" i="5"/>
  <c r="A19" i="5"/>
  <c r="A16" i="5"/>
  <c r="G6" i="5"/>
  <c r="B6" i="5"/>
  <c r="A1" i="5"/>
  <c r="I23" i="5" l="1"/>
  <c r="I24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1" i="3"/>
  <c r="CY1" i="3"/>
  <c r="CZ1" i="3"/>
  <c r="DB1" i="3" s="1"/>
  <c r="DA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B9" i="3" s="1"/>
  <c r="DA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B12" i="3" s="1"/>
  <c r="DA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A15" i="3"/>
  <c r="DB15" i="3"/>
  <c r="DC15" i="3"/>
  <c r="A16" i="3"/>
  <c r="CY16" i="3"/>
  <c r="CZ16" i="3"/>
  <c r="DB16" i="3" s="1"/>
  <c r="DA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A19" i="3"/>
  <c r="DB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A23" i="3"/>
  <c r="DB23" i="3"/>
  <c r="DC23" i="3"/>
  <c r="A24" i="3"/>
  <c r="CY24" i="3"/>
  <c r="CZ24" i="3"/>
  <c r="DB24" i="3" s="1"/>
  <c r="DA24" i="3"/>
  <c r="DC24" i="3"/>
  <c r="A25" i="3"/>
  <c r="CY25" i="3"/>
  <c r="CZ25" i="3"/>
  <c r="DA25" i="3"/>
  <c r="DB25" i="3"/>
  <c r="DC25" i="3"/>
  <c r="A26" i="3"/>
  <c r="CY26" i="3"/>
  <c r="CZ26" i="3"/>
  <c r="DB26" i="3" s="1"/>
  <c r="DA26" i="3"/>
  <c r="DC26" i="3"/>
  <c r="A27" i="3"/>
  <c r="CY27" i="3"/>
  <c r="CZ27" i="3"/>
  <c r="DA27" i="3"/>
  <c r="DB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A31" i="3"/>
  <c r="DB31" i="3"/>
  <c r="DC31" i="3"/>
  <c r="A32" i="3"/>
  <c r="CY32" i="3"/>
  <c r="CZ32" i="3"/>
  <c r="DB32" i="3" s="1"/>
  <c r="DA32" i="3"/>
  <c r="DC32" i="3"/>
  <c r="A33" i="3"/>
  <c r="CY33" i="3"/>
  <c r="CZ33" i="3"/>
  <c r="DA33" i="3"/>
  <c r="DB33" i="3"/>
  <c r="DC33" i="3"/>
  <c r="A34" i="3"/>
  <c r="CY34" i="3"/>
  <c r="CZ34" i="3"/>
  <c r="DB34" i="3" s="1"/>
  <c r="DA34" i="3"/>
  <c r="DC34" i="3"/>
  <c r="A35" i="3"/>
  <c r="CY35" i="3"/>
  <c r="CZ35" i="3"/>
  <c r="DA35" i="3"/>
  <c r="DB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A39" i="3"/>
  <c r="DB39" i="3"/>
  <c r="DC39" i="3"/>
  <c r="A40" i="3"/>
  <c r="CY40" i="3"/>
  <c r="CZ40" i="3"/>
  <c r="DB40" i="3" s="1"/>
  <c r="DA40" i="3"/>
  <c r="DC40" i="3"/>
  <c r="A41" i="3"/>
  <c r="CY41" i="3"/>
  <c r="CZ41" i="3"/>
  <c r="DA41" i="3"/>
  <c r="DB41" i="3"/>
  <c r="DC41" i="3"/>
  <c r="A42" i="3"/>
  <c r="CY42" i="3"/>
  <c r="CZ42" i="3"/>
  <c r="DB42" i="3" s="1"/>
  <c r="DA42" i="3"/>
  <c r="DC42" i="3"/>
  <c r="A43" i="3"/>
  <c r="CY43" i="3"/>
  <c r="CZ43" i="3"/>
  <c r="DA43" i="3"/>
  <c r="DB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A47" i="3"/>
  <c r="DB47" i="3"/>
  <c r="DC47" i="3"/>
  <c r="A48" i="3"/>
  <c r="CY48" i="3"/>
  <c r="CZ48" i="3"/>
  <c r="DB48" i="3" s="1"/>
  <c r="DA48" i="3"/>
  <c r="DC48" i="3"/>
  <c r="A49" i="3"/>
  <c r="CY49" i="3"/>
  <c r="CZ49" i="3"/>
  <c r="DA49" i="3"/>
  <c r="DB49" i="3"/>
  <c r="DC49" i="3"/>
  <c r="A50" i="3"/>
  <c r="CY50" i="3"/>
  <c r="CZ50" i="3"/>
  <c r="DB50" i="3" s="1"/>
  <c r="DA50" i="3"/>
  <c r="DC50" i="3"/>
  <c r="A51" i="3"/>
  <c r="CY51" i="3"/>
  <c r="CZ51" i="3"/>
  <c r="DA51" i="3"/>
  <c r="DB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I24" i="1"/>
  <c r="AC24" i="1"/>
  <c r="AE24" i="1"/>
  <c r="AF24" i="1"/>
  <c r="AG24" i="1"/>
  <c r="CU24" i="1" s="1"/>
  <c r="AH24" i="1"/>
  <c r="AI24" i="1"/>
  <c r="CW24" i="1" s="1"/>
  <c r="V24" i="1" s="1"/>
  <c r="AJ24" i="1"/>
  <c r="CT24" i="1"/>
  <c r="CV24" i="1"/>
  <c r="U24" i="1" s="1"/>
  <c r="CX24" i="1"/>
  <c r="W24" i="1" s="1"/>
  <c r="FR24" i="1"/>
  <c r="GL24" i="1"/>
  <c r="GO24" i="1"/>
  <c r="GP24" i="1"/>
  <c r="GV24" i="1"/>
  <c r="HC24" i="1"/>
  <c r="GX24" i="1" s="1"/>
  <c r="C25" i="1"/>
  <c r="D25" i="1"/>
  <c r="AC25" i="1"/>
  <c r="AE25" i="1"/>
  <c r="AF25" i="1"/>
  <c r="AG25" i="1"/>
  <c r="AH25" i="1"/>
  <c r="CV25" i="1" s="1"/>
  <c r="AI25" i="1"/>
  <c r="CW25" i="1" s="1"/>
  <c r="AJ25" i="1"/>
  <c r="CX25" i="1" s="1"/>
  <c r="CQ25" i="1"/>
  <c r="CS25" i="1"/>
  <c r="CU25" i="1"/>
  <c r="FR25" i="1"/>
  <c r="GL25" i="1"/>
  <c r="GO25" i="1"/>
  <c r="GP25" i="1"/>
  <c r="GV25" i="1"/>
  <c r="HC25" i="1"/>
  <c r="AC26" i="1"/>
  <c r="AE26" i="1"/>
  <c r="AF26" i="1"/>
  <c r="AG26" i="1"/>
  <c r="CU26" i="1" s="1"/>
  <c r="AH26" i="1"/>
  <c r="CV26" i="1" s="1"/>
  <c r="AI26" i="1"/>
  <c r="AJ26" i="1"/>
  <c r="CX26" i="1" s="1"/>
  <c r="CQ26" i="1"/>
  <c r="CS26" i="1"/>
  <c r="CW26" i="1"/>
  <c r="FR26" i="1"/>
  <c r="GL26" i="1"/>
  <c r="GO26" i="1"/>
  <c r="GP26" i="1"/>
  <c r="GV26" i="1"/>
  <c r="HC26" i="1"/>
  <c r="C27" i="1"/>
  <c r="D27" i="1"/>
  <c r="AC27" i="1"/>
  <c r="AE27" i="1"/>
  <c r="AF27" i="1"/>
  <c r="AG27" i="1"/>
  <c r="AH27" i="1"/>
  <c r="CV27" i="1" s="1"/>
  <c r="AI27" i="1"/>
  <c r="CW27" i="1" s="1"/>
  <c r="AJ27" i="1"/>
  <c r="CX27" i="1" s="1"/>
  <c r="CQ27" i="1"/>
  <c r="CS27" i="1"/>
  <c r="CU27" i="1"/>
  <c r="FR27" i="1"/>
  <c r="GL27" i="1"/>
  <c r="GO27" i="1"/>
  <c r="GP27" i="1"/>
  <c r="GV27" i="1"/>
  <c r="HC27" i="1" s="1"/>
  <c r="AC28" i="1"/>
  <c r="AE28" i="1"/>
  <c r="AF28" i="1"/>
  <c r="AG28" i="1"/>
  <c r="AH28" i="1"/>
  <c r="CV28" i="1" s="1"/>
  <c r="AI28" i="1"/>
  <c r="CW28" i="1" s="1"/>
  <c r="AJ28" i="1"/>
  <c r="CX28" i="1" s="1"/>
  <c r="CQ28" i="1"/>
  <c r="CS28" i="1"/>
  <c r="CU28" i="1"/>
  <c r="FR28" i="1"/>
  <c r="GL28" i="1"/>
  <c r="GO28" i="1"/>
  <c r="GP28" i="1"/>
  <c r="GV28" i="1"/>
  <c r="HC28" i="1"/>
  <c r="C29" i="1"/>
  <c r="D29" i="1"/>
  <c r="I29" i="1"/>
  <c r="P29" i="1"/>
  <c r="AC29" i="1"/>
  <c r="AE29" i="1"/>
  <c r="AF29" i="1"/>
  <c r="AG29" i="1"/>
  <c r="AH29" i="1"/>
  <c r="CV29" i="1" s="1"/>
  <c r="U29" i="1" s="1"/>
  <c r="AI29" i="1"/>
  <c r="CW29" i="1" s="1"/>
  <c r="V29" i="1" s="1"/>
  <c r="AJ29" i="1"/>
  <c r="CX29" i="1" s="1"/>
  <c r="W29" i="1" s="1"/>
  <c r="CQ29" i="1"/>
  <c r="CS29" i="1"/>
  <c r="CU29" i="1"/>
  <c r="T29" i="1" s="1"/>
  <c r="FR29" i="1"/>
  <c r="GL29" i="1"/>
  <c r="GO29" i="1"/>
  <c r="GP29" i="1"/>
  <c r="GV29" i="1"/>
  <c r="HC29" i="1" s="1"/>
  <c r="GX29" i="1" s="1"/>
  <c r="C30" i="1"/>
  <c r="D30" i="1"/>
  <c r="I30" i="1"/>
  <c r="AC30" i="1"/>
  <c r="AD30" i="1"/>
  <c r="AB30" i="1" s="1"/>
  <c r="AE30" i="1"/>
  <c r="AF30" i="1"/>
  <c r="AG30" i="1"/>
  <c r="CU30" i="1" s="1"/>
  <c r="T30" i="1" s="1"/>
  <c r="AH30" i="1"/>
  <c r="CV30" i="1" s="1"/>
  <c r="U30" i="1" s="1"/>
  <c r="AI30" i="1"/>
  <c r="AJ30" i="1"/>
  <c r="CX30" i="1" s="1"/>
  <c r="CQ30" i="1"/>
  <c r="CR30" i="1"/>
  <c r="CS30" i="1"/>
  <c r="CW30" i="1"/>
  <c r="V30" i="1" s="1"/>
  <c r="FR30" i="1"/>
  <c r="GL30" i="1"/>
  <c r="GO30" i="1"/>
  <c r="GP30" i="1"/>
  <c r="GV30" i="1"/>
  <c r="HC30" i="1" s="1"/>
  <c r="C31" i="1"/>
  <c r="D31" i="1"/>
  <c r="I31" i="1"/>
  <c r="AC31" i="1"/>
  <c r="AD31" i="1"/>
  <c r="AE31" i="1"/>
  <c r="AF31" i="1"/>
  <c r="AG31" i="1"/>
  <c r="CU31" i="1" s="1"/>
  <c r="T31" i="1" s="1"/>
  <c r="AH31" i="1"/>
  <c r="CV31" i="1" s="1"/>
  <c r="AI31" i="1"/>
  <c r="AJ31" i="1"/>
  <c r="CX31" i="1" s="1"/>
  <c r="CQ31" i="1"/>
  <c r="CR31" i="1"/>
  <c r="CS31" i="1"/>
  <c r="CW31" i="1"/>
  <c r="V31" i="1" s="1"/>
  <c r="FR31" i="1"/>
  <c r="GL31" i="1"/>
  <c r="GO31" i="1"/>
  <c r="GP31" i="1"/>
  <c r="GV31" i="1"/>
  <c r="HC31" i="1"/>
  <c r="GX31" i="1" s="1"/>
  <c r="I32" i="1"/>
  <c r="AC32" i="1"/>
  <c r="AD32" i="1"/>
  <c r="AB32" i="1" s="1"/>
  <c r="AE32" i="1"/>
  <c r="AF32" i="1"/>
  <c r="AG32" i="1"/>
  <c r="CU32" i="1" s="1"/>
  <c r="T32" i="1" s="1"/>
  <c r="AH32" i="1"/>
  <c r="CV32" i="1" s="1"/>
  <c r="U32" i="1" s="1"/>
  <c r="AI32" i="1"/>
  <c r="AJ32" i="1"/>
  <c r="CX32" i="1" s="1"/>
  <c r="CQ32" i="1"/>
  <c r="CR32" i="1"/>
  <c r="CS32" i="1"/>
  <c r="CW32" i="1"/>
  <c r="V32" i="1" s="1"/>
  <c r="FR32" i="1"/>
  <c r="GL32" i="1"/>
  <c r="GO32" i="1"/>
  <c r="GP32" i="1"/>
  <c r="GV32" i="1"/>
  <c r="HC32" i="1" s="1"/>
  <c r="C33" i="1"/>
  <c r="D33" i="1"/>
  <c r="I33" i="1"/>
  <c r="AC33" i="1"/>
  <c r="P33" i="1" s="1"/>
  <c r="AD33" i="1"/>
  <c r="AE33" i="1"/>
  <c r="AF33" i="1"/>
  <c r="AG33" i="1"/>
  <c r="CU33" i="1" s="1"/>
  <c r="T33" i="1" s="1"/>
  <c r="AH33" i="1"/>
  <c r="CV33" i="1" s="1"/>
  <c r="AI33" i="1"/>
  <c r="AJ33" i="1"/>
  <c r="CX33" i="1" s="1"/>
  <c r="CQ33" i="1"/>
  <c r="CR33" i="1"/>
  <c r="CS33" i="1"/>
  <c r="CW33" i="1"/>
  <c r="V33" i="1" s="1"/>
  <c r="FR33" i="1"/>
  <c r="GL33" i="1"/>
  <c r="GO33" i="1"/>
  <c r="GP33" i="1"/>
  <c r="GV33" i="1"/>
  <c r="HC33" i="1"/>
  <c r="GX33" i="1" s="1"/>
  <c r="C34" i="1"/>
  <c r="D34" i="1"/>
  <c r="I34" i="1"/>
  <c r="AC34" i="1"/>
  <c r="AE34" i="1"/>
  <c r="AF34" i="1"/>
  <c r="AG34" i="1"/>
  <c r="AH34" i="1"/>
  <c r="CV34" i="1" s="1"/>
  <c r="U34" i="1" s="1"/>
  <c r="AI34" i="1"/>
  <c r="CW34" i="1" s="1"/>
  <c r="V34" i="1" s="1"/>
  <c r="AJ34" i="1"/>
  <c r="CX34" i="1" s="1"/>
  <c r="W34" i="1" s="1"/>
  <c r="CQ34" i="1"/>
  <c r="CS34" i="1"/>
  <c r="CU34" i="1"/>
  <c r="T34" i="1" s="1"/>
  <c r="FR34" i="1"/>
  <c r="GL34" i="1"/>
  <c r="GO34" i="1"/>
  <c r="GP34" i="1"/>
  <c r="GV34" i="1"/>
  <c r="HC34" i="1"/>
  <c r="AC35" i="1"/>
  <c r="AE35" i="1"/>
  <c r="AF35" i="1"/>
  <c r="AG35" i="1"/>
  <c r="CU35" i="1" s="1"/>
  <c r="AH35" i="1"/>
  <c r="CV35" i="1" s="1"/>
  <c r="AI35" i="1"/>
  <c r="CW35" i="1" s="1"/>
  <c r="AJ35" i="1"/>
  <c r="CR35" i="1"/>
  <c r="CT35" i="1"/>
  <c r="CX35" i="1"/>
  <c r="FR35" i="1"/>
  <c r="GL35" i="1"/>
  <c r="GO35" i="1"/>
  <c r="GP35" i="1"/>
  <c r="GV35" i="1"/>
  <c r="HC35" i="1"/>
  <c r="C36" i="1"/>
  <c r="D36" i="1"/>
  <c r="I36" i="1"/>
  <c r="S36" i="1"/>
  <c r="AC36" i="1"/>
  <c r="AE36" i="1"/>
  <c r="AF36" i="1"/>
  <c r="AG36" i="1"/>
  <c r="CU36" i="1" s="1"/>
  <c r="T36" i="1" s="1"/>
  <c r="AH36" i="1"/>
  <c r="CV36" i="1" s="1"/>
  <c r="U36" i="1" s="1"/>
  <c r="AI36" i="1"/>
  <c r="CW36" i="1" s="1"/>
  <c r="AJ36" i="1"/>
  <c r="CR36" i="1"/>
  <c r="CX36" i="1"/>
  <c r="W36" i="1" s="1"/>
  <c r="CZ36" i="1"/>
  <c r="Y36" i="1" s="1"/>
  <c r="FR36" i="1"/>
  <c r="GL36" i="1"/>
  <c r="GO36" i="1"/>
  <c r="GP36" i="1"/>
  <c r="GV36" i="1"/>
  <c r="HC36" i="1" s="1"/>
  <c r="GX36" i="1" s="1"/>
  <c r="I37" i="1"/>
  <c r="AC37" i="1"/>
  <c r="AE37" i="1"/>
  <c r="AF37" i="1"/>
  <c r="AG37" i="1"/>
  <c r="CU37" i="1" s="1"/>
  <c r="AH37" i="1"/>
  <c r="AI37" i="1"/>
  <c r="CW37" i="1" s="1"/>
  <c r="V37" i="1" s="1"/>
  <c r="AJ37" i="1"/>
  <c r="CV37" i="1"/>
  <c r="U37" i="1" s="1"/>
  <c r="CX37" i="1"/>
  <c r="W37" i="1" s="1"/>
  <c r="FR37" i="1"/>
  <c r="GL37" i="1"/>
  <c r="GO37" i="1"/>
  <c r="GP37" i="1"/>
  <c r="GV37" i="1"/>
  <c r="HC37" i="1"/>
  <c r="GX37" i="1" s="1"/>
  <c r="C38" i="1"/>
  <c r="D38" i="1"/>
  <c r="AC38" i="1"/>
  <c r="AE38" i="1"/>
  <c r="AF38" i="1"/>
  <c r="AG38" i="1"/>
  <c r="CU38" i="1" s="1"/>
  <c r="AH38" i="1"/>
  <c r="CV38" i="1" s="1"/>
  <c r="AI38" i="1"/>
  <c r="CW38" i="1" s="1"/>
  <c r="AJ38" i="1"/>
  <c r="CR38" i="1"/>
  <c r="CX38" i="1"/>
  <c r="FR38" i="1"/>
  <c r="GL38" i="1"/>
  <c r="GO38" i="1"/>
  <c r="GP38" i="1"/>
  <c r="GV38" i="1"/>
  <c r="HC38" i="1"/>
  <c r="AC39" i="1"/>
  <c r="AD39" i="1"/>
  <c r="AB39" i="1" s="1"/>
  <c r="AE39" i="1"/>
  <c r="AF39" i="1"/>
  <c r="AG39" i="1"/>
  <c r="CU39" i="1" s="1"/>
  <c r="AH39" i="1"/>
  <c r="CV39" i="1" s="1"/>
  <c r="AI39" i="1"/>
  <c r="AJ39" i="1"/>
  <c r="CX39" i="1" s="1"/>
  <c r="CQ39" i="1"/>
  <c r="CR39" i="1"/>
  <c r="CS39" i="1"/>
  <c r="CW39" i="1"/>
  <c r="FR39" i="1"/>
  <c r="GL39" i="1"/>
  <c r="GO39" i="1"/>
  <c r="GP39" i="1"/>
  <c r="GV39" i="1"/>
  <c r="HC39" i="1" s="1"/>
  <c r="B41" i="1"/>
  <c r="B22" i="1" s="1"/>
  <c r="C41" i="1"/>
  <c r="C22" i="1" s="1"/>
  <c r="D41" i="1"/>
  <c r="D22" i="1" s="1"/>
  <c r="F41" i="1"/>
  <c r="F22" i="1" s="1"/>
  <c r="G41" i="1"/>
  <c r="BX41" i="1"/>
  <c r="BX22" i="1" s="1"/>
  <c r="BY41" i="1"/>
  <c r="BY22" i="1" s="1"/>
  <c r="BZ41" i="1"/>
  <c r="BZ22" i="1" s="1"/>
  <c r="CC41" i="1"/>
  <c r="CC22" i="1" s="1"/>
  <c r="CD41" i="1"/>
  <c r="CD22" i="1" s="1"/>
  <c r="CG41" i="1"/>
  <c r="CG22" i="1" s="1"/>
  <c r="CI41" i="1"/>
  <c r="CI22" i="1" s="1"/>
  <c r="CK41" i="1"/>
  <c r="CK22" i="1" s="1"/>
  <c r="CL41" i="1"/>
  <c r="CL22" i="1" s="1"/>
  <c r="B70" i="1"/>
  <c r="B18" i="1" s="1"/>
  <c r="C70" i="1"/>
  <c r="C18" i="1" s="1"/>
  <c r="D70" i="1"/>
  <c r="D18" i="1" s="1"/>
  <c r="F70" i="1"/>
  <c r="F18" i="1" s="1"/>
  <c r="G70" i="1"/>
  <c r="J129" i="6" l="1"/>
  <c r="I124" i="5"/>
  <c r="S126" i="6"/>
  <c r="Q126" i="6"/>
  <c r="S121" i="5"/>
  <c r="Q121" i="5"/>
  <c r="S37" i="1"/>
  <c r="T123" i="6"/>
  <c r="T118" i="5"/>
  <c r="CY36" i="1"/>
  <c r="X36" i="1" s="1"/>
  <c r="L125" i="6"/>
  <c r="K120" i="5"/>
  <c r="Q111" i="6"/>
  <c r="J113" i="6"/>
  <c r="S106" i="5"/>
  <c r="S111" i="6"/>
  <c r="Q106" i="5"/>
  <c r="I108" i="5"/>
  <c r="D105" i="6"/>
  <c r="F104" i="6"/>
  <c r="E99" i="5"/>
  <c r="C100" i="5"/>
  <c r="Q32" i="1"/>
  <c r="F98" i="6"/>
  <c r="E93" i="5"/>
  <c r="J97" i="6"/>
  <c r="I92" i="5"/>
  <c r="J95" i="6"/>
  <c r="F93" i="6"/>
  <c r="I90" i="5"/>
  <c r="E88" i="5"/>
  <c r="J91" i="6"/>
  <c r="I86" i="5"/>
  <c r="P30" i="1"/>
  <c r="J85" i="6"/>
  <c r="F83" i="6"/>
  <c r="I80" i="5"/>
  <c r="E78" i="5"/>
  <c r="J77" i="6"/>
  <c r="W77" i="6" s="1"/>
  <c r="U73" i="6"/>
  <c r="J80" i="6" s="1"/>
  <c r="I72" i="5"/>
  <c r="W72" i="5" s="1"/>
  <c r="U68" i="5"/>
  <c r="I75" i="5" s="1"/>
  <c r="V73" i="6"/>
  <c r="L80" i="6" s="1"/>
  <c r="V68" i="5"/>
  <c r="K75" i="5" s="1"/>
  <c r="R29" i="1"/>
  <c r="S27" i="1"/>
  <c r="Q56" i="5"/>
  <c r="S25" i="1"/>
  <c r="I46" i="5"/>
  <c r="J47" i="6"/>
  <c r="I42" i="5"/>
  <c r="U39" i="6"/>
  <c r="J46" i="6" s="1"/>
  <c r="V39" i="6"/>
  <c r="L46" i="6" s="1"/>
  <c r="I38" i="5"/>
  <c r="W38" i="5" s="1"/>
  <c r="U34" i="5"/>
  <c r="I41" i="5" s="1"/>
  <c r="V34" i="5"/>
  <c r="K41" i="5" s="1"/>
  <c r="J43" i="6"/>
  <c r="W43" i="6" s="1"/>
  <c r="CX2" i="3"/>
  <c r="D40" i="6"/>
  <c r="J42" i="6"/>
  <c r="I37" i="5"/>
  <c r="C35" i="5"/>
  <c r="E34" i="5"/>
  <c r="F39" i="6"/>
  <c r="CX5" i="3"/>
  <c r="G22" i="1"/>
  <c r="A140" i="6"/>
  <c r="A135" i="5"/>
  <c r="J132" i="6"/>
  <c r="Q126" i="5"/>
  <c r="I127" i="5"/>
  <c r="U126" i="6"/>
  <c r="V126" i="6"/>
  <c r="V121" i="5"/>
  <c r="U121" i="5"/>
  <c r="F126" i="6"/>
  <c r="E121" i="5"/>
  <c r="Q123" i="6"/>
  <c r="J127" i="6" s="1"/>
  <c r="J125" i="6"/>
  <c r="I120" i="5"/>
  <c r="S118" i="5"/>
  <c r="I123" i="5" s="1"/>
  <c r="S123" i="6"/>
  <c r="J128" i="6" s="1"/>
  <c r="Q118" i="5"/>
  <c r="I122" i="5" s="1"/>
  <c r="F123" i="6"/>
  <c r="D124" i="6"/>
  <c r="C119" i="5"/>
  <c r="E118" i="5"/>
  <c r="J115" i="6"/>
  <c r="W115" i="6" s="1"/>
  <c r="U111" i="6"/>
  <c r="V111" i="6"/>
  <c r="V106" i="5"/>
  <c r="I110" i="5"/>
  <c r="W110" i="5" s="1"/>
  <c r="U106" i="5"/>
  <c r="R34" i="1"/>
  <c r="W33" i="1"/>
  <c r="J106" i="6"/>
  <c r="S104" i="6"/>
  <c r="J108" i="6" s="1"/>
  <c r="Q104" i="6"/>
  <c r="J107" i="6" s="1"/>
  <c r="S99" i="5"/>
  <c r="I103" i="5" s="1"/>
  <c r="Q99" i="5"/>
  <c r="I102" i="5" s="1"/>
  <c r="I101" i="5"/>
  <c r="J98" i="6"/>
  <c r="X98" i="6" s="1"/>
  <c r="I93" i="5"/>
  <c r="X93" i="5" s="1"/>
  <c r="W31" i="1"/>
  <c r="J94" i="6"/>
  <c r="S93" i="6"/>
  <c r="Q93" i="6"/>
  <c r="I89" i="5"/>
  <c r="S88" i="5"/>
  <c r="Q88" i="5"/>
  <c r="J87" i="6"/>
  <c r="I82" i="5"/>
  <c r="CR29" i="1"/>
  <c r="J81" i="6"/>
  <c r="I76" i="5"/>
  <c r="AD29" i="1"/>
  <c r="AB29" i="1" s="1"/>
  <c r="V56" i="5"/>
  <c r="V61" i="6"/>
  <c r="U49" i="6"/>
  <c r="V44" i="5"/>
  <c r="I25" i="1"/>
  <c r="V25" i="1" s="1"/>
  <c r="CX3" i="3"/>
  <c r="V38" i="1"/>
  <c r="U126" i="5"/>
  <c r="V126" i="5"/>
  <c r="I38" i="1"/>
  <c r="CT37" i="1"/>
  <c r="J126" i="6"/>
  <c r="X126" i="6" s="1"/>
  <c r="I121" i="5"/>
  <c r="X121" i="5" s="1"/>
  <c r="V36" i="1"/>
  <c r="Q36" i="1"/>
  <c r="U123" i="6"/>
  <c r="U118" i="5"/>
  <c r="V123" i="6"/>
  <c r="V118" i="5"/>
  <c r="CR34" i="1"/>
  <c r="J121" i="6"/>
  <c r="I116" i="5"/>
  <c r="AD34" i="1"/>
  <c r="AB34" i="1" s="1"/>
  <c r="P34" i="1"/>
  <c r="F111" i="6"/>
  <c r="D112" i="6"/>
  <c r="I109" i="5"/>
  <c r="E106" i="5"/>
  <c r="J114" i="6"/>
  <c r="C107" i="5"/>
  <c r="U104" i="6"/>
  <c r="V104" i="6"/>
  <c r="V99" i="5"/>
  <c r="U99" i="5"/>
  <c r="R33" i="1"/>
  <c r="GK33" i="1" s="1"/>
  <c r="W32" i="1"/>
  <c r="S98" i="6"/>
  <c r="Q98" i="6"/>
  <c r="Q93" i="5"/>
  <c r="S93" i="5"/>
  <c r="V93" i="6"/>
  <c r="U88" i="5"/>
  <c r="J96" i="6"/>
  <c r="W96" i="6" s="1"/>
  <c r="I91" i="5"/>
  <c r="W91" i="5" s="1"/>
  <c r="V88" i="5"/>
  <c r="K96" i="5" s="1"/>
  <c r="U93" i="6"/>
  <c r="R31" i="1"/>
  <c r="W30" i="1"/>
  <c r="J84" i="6"/>
  <c r="S83" i="6"/>
  <c r="J89" i="6" s="1"/>
  <c r="Q83" i="6"/>
  <c r="J88" i="6" s="1"/>
  <c r="I79" i="5"/>
  <c r="S78" i="5"/>
  <c r="I84" i="5" s="1"/>
  <c r="Q78" i="5"/>
  <c r="I83" i="5" s="1"/>
  <c r="F73" i="6"/>
  <c r="D74" i="6"/>
  <c r="E68" i="5"/>
  <c r="J76" i="6"/>
  <c r="C69" i="5"/>
  <c r="I71" i="5"/>
  <c r="CR28" i="1"/>
  <c r="AD28" i="1"/>
  <c r="AB28" i="1" s="1"/>
  <c r="CR27" i="1"/>
  <c r="U27" i="1"/>
  <c r="AD27" i="1"/>
  <c r="AB27" i="1" s="1"/>
  <c r="I27" i="1"/>
  <c r="V27" i="1" s="1"/>
  <c r="CR25" i="1"/>
  <c r="AD25" i="1"/>
  <c r="AB25" i="1" s="1"/>
  <c r="CR24" i="1"/>
  <c r="T24" i="1"/>
  <c r="CX1" i="3"/>
  <c r="G18" i="1"/>
  <c r="A144" i="6"/>
  <c r="A139" i="5"/>
  <c r="AL144" i="6"/>
  <c r="AL139" i="5"/>
  <c r="CT38" i="1"/>
  <c r="I128" i="5"/>
  <c r="J133" i="6"/>
  <c r="CR37" i="1"/>
  <c r="T37" i="1"/>
  <c r="CT36" i="1"/>
  <c r="P36" i="1"/>
  <c r="J116" i="6"/>
  <c r="I111" i="5"/>
  <c r="U33" i="1"/>
  <c r="AB33" i="1"/>
  <c r="V98" i="6"/>
  <c r="U98" i="6"/>
  <c r="U93" i="5"/>
  <c r="V93" i="5"/>
  <c r="R32" i="1"/>
  <c r="GK32" i="1" s="1"/>
  <c r="U31" i="1"/>
  <c r="AB31" i="1"/>
  <c r="P31" i="1"/>
  <c r="V83" i="6"/>
  <c r="L90" i="6" s="1"/>
  <c r="I81" i="5"/>
  <c r="W81" i="5" s="1"/>
  <c r="V78" i="5"/>
  <c r="K85" i="5" s="1"/>
  <c r="J86" i="6"/>
  <c r="W86" i="6" s="1"/>
  <c r="U78" i="5"/>
  <c r="I85" i="5" s="1"/>
  <c r="U83" i="6"/>
  <c r="J90" i="6" s="1"/>
  <c r="R30" i="1"/>
  <c r="Q73" i="6"/>
  <c r="J78" i="6" s="1"/>
  <c r="J75" i="6"/>
  <c r="I70" i="5"/>
  <c r="Q68" i="5"/>
  <c r="I73" i="5" s="1"/>
  <c r="S68" i="5"/>
  <c r="I74" i="5" s="1"/>
  <c r="S73" i="6"/>
  <c r="J79" i="6" s="1"/>
  <c r="J66" i="6"/>
  <c r="I61" i="5"/>
  <c r="CR26" i="1"/>
  <c r="AD26" i="1"/>
  <c r="AB26" i="1" s="1"/>
  <c r="P25" i="1"/>
  <c r="J54" i="6"/>
  <c r="J41" i="6"/>
  <c r="S39" i="6"/>
  <c r="J45" i="6" s="1"/>
  <c r="Q34" i="5"/>
  <c r="I39" i="5" s="1"/>
  <c r="Q39" i="6"/>
  <c r="J44" i="6" s="1"/>
  <c r="I36" i="5"/>
  <c r="S34" i="5"/>
  <c r="I40" i="5" s="1"/>
  <c r="S24" i="1"/>
  <c r="BB41" i="1"/>
  <c r="AZ41" i="1"/>
  <c r="AX41" i="1"/>
  <c r="AT41" i="1"/>
  <c r="AP41" i="1"/>
  <c r="P38" i="1"/>
  <c r="CQ38" i="1"/>
  <c r="P37" i="1"/>
  <c r="CP37" i="1" s="1"/>
  <c r="O37" i="1" s="1"/>
  <c r="CQ37" i="1"/>
  <c r="BC41" i="1"/>
  <c r="AU41" i="1"/>
  <c r="AQ41" i="1"/>
  <c r="AO41" i="1"/>
  <c r="CT39" i="1"/>
  <c r="R38" i="1"/>
  <c r="GK38" i="1" s="1"/>
  <c r="AD38" i="1"/>
  <c r="AB38" i="1" s="1"/>
  <c r="CS38" i="1"/>
  <c r="Q38" i="1"/>
  <c r="R37" i="1"/>
  <c r="GK37" i="1" s="1"/>
  <c r="AD37" i="1"/>
  <c r="AB37" i="1" s="1"/>
  <c r="CS37" i="1"/>
  <c r="Q37" i="1"/>
  <c r="CP36" i="1"/>
  <c r="O36" i="1" s="1"/>
  <c r="CX52" i="3"/>
  <c r="CX54" i="3"/>
  <c r="CX53" i="3"/>
  <c r="CS36" i="1"/>
  <c r="CQ36" i="1"/>
  <c r="AD36" i="1"/>
  <c r="AB36" i="1"/>
  <c r="R36" i="1"/>
  <c r="GK36" i="1" s="1"/>
  <c r="CX50" i="3"/>
  <c r="CX51" i="3"/>
  <c r="CS35" i="1"/>
  <c r="CQ35" i="1"/>
  <c r="AD35" i="1"/>
  <c r="AB35" i="1"/>
  <c r="I35" i="1"/>
  <c r="GX34" i="1"/>
  <c r="S33" i="1"/>
  <c r="CT33" i="1"/>
  <c r="CX40" i="3"/>
  <c r="Q33" i="1"/>
  <c r="GX32" i="1"/>
  <c r="P32" i="1"/>
  <c r="S31" i="1"/>
  <c r="CT31" i="1"/>
  <c r="CX30" i="3"/>
  <c r="CX32" i="3"/>
  <c r="CX34" i="3"/>
  <c r="CX36" i="3"/>
  <c r="CX38" i="3"/>
  <c r="CX31" i="3"/>
  <c r="CX35" i="3"/>
  <c r="CX39" i="3"/>
  <c r="Q31" i="1"/>
  <c r="CX29" i="3"/>
  <c r="CX33" i="3"/>
  <c r="CX37" i="3"/>
  <c r="GX30" i="1"/>
  <c r="S29" i="1"/>
  <c r="CT29" i="1"/>
  <c r="CX24" i="3"/>
  <c r="CX23" i="3"/>
  <c r="Q29" i="1"/>
  <c r="CX25" i="3"/>
  <c r="CZ25" i="1"/>
  <c r="Y25" i="1" s="1"/>
  <c r="S34" i="1"/>
  <c r="CT34" i="1"/>
  <c r="CX42" i="3"/>
  <c r="CX44" i="3"/>
  <c r="CX46" i="3"/>
  <c r="CX48" i="3"/>
  <c r="CX43" i="3"/>
  <c r="CX47" i="3"/>
  <c r="Q34" i="1"/>
  <c r="CX41" i="3"/>
  <c r="CX45" i="3"/>
  <c r="CX49" i="3"/>
  <c r="S32" i="1"/>
  <c r="CT32" i="1"/>
  <c r="S30" i="1"/>
  <c r="CT30" i="1"/>
  <c r="CX26" i="3"/>
  <c r="CX28" i="3"/>
  <c r="CX27" i="3"/>
  <c r="Q30" i="1"/>
  <c r="CT28" i="1"/>
  <c r="CX14" i="3"/>
  <c r="CX16" i="3"/>
  <c r="CX18" i="3"/>
  <c r="CX20" i="3"/>
  <c r="CX22" i="3"/>
  <c r="P24" i="1"/>
  <c r="CQ24" i="1"/>
  <c r="CX21" i="3"/>
  <c r="CX17" i="3"/>
  <c r="CT27" i="1"/>
  <c r="Q27" i="1"/>
  <c r="CT26" i="1"/>
  <c r="CT25" i="1"/>
  <c r="R24" i="1"/>
  <c r="AD24" i="1"/>
  <c r="AB24" i="1" s="1"/>
  <c r="CS24" i="1"/>
  <c r="Q24" i="1"/>
  <c r="CX19" i="3"/>
  <c r="CX15" i="3"/>
  <c r="CX12" i="3"/>
  <c r="CX10" i="3"/>
  <c r="CX8" i="3"/>
  <c r="CX4" i="3"/>
  <c r="L64" i="6" l="1"/>
  <c r="K59" i="5"/>
  <c r="CP34" i="1"/>
  <c r="O34" i="1" s="1"/>
  <c r="L114" i="6"/>
  <c r="K109" i="5"/>
  <c r="L94" i="6"/>
  <c r="K89" i="5"/>
  <c r="Q35" i="1"/>
  <c r="F117" i="6"/>
  <c r="E112" i="5"/>
  <c r="T35" i="1"/>
  <c r="CP29" i="1"/>
  <c r="O29" i="1" s="1"/>
  <c r="L76" i="6"/>
  <c r="K71" i="5"/>
  <c r="L126" i="6"/>
  <c r="K121" i="5"/>
  <c r="L54" i="6"/>
  <c r="K49" i="5"/>
  <c r="X87" i="5"/>
  <c r="H87" i="5"/>
  <c r="O87" i="5"/>
  <c r="W79" i="5"/>
  <c r="W89" i="5"/>
  <c r="K46" i="5"/>
  <c r="L51" i="6"/>
  <c r="CZ27" i="1"/>
  <c r="Y27" i="1" s="1"/>
  <c r="L63" i="6"/>
  <c r="K58" i="5"/>
  <c r="CY27" i="1"/>
  <c r="X27" i="1" s="1"/>
  <c r="K37" i="5"/>
  <c r="L42" i="6"/>
  <c r="CY25" i="1"/>
  <c r="X25" i="1" s="1"/>
  <c r="CP33" i="1"/>
  <c r="O33" i="1" s="1"/>
  <c r="S35" i="1"/>
  <c r="P35" i="1"/>
  <c r="I49" i="5"/>
  <c r="GK30" i="1"/>
  <c r="L86" i="6"/>
  <c r="K81" i="5"/>
  <c r="J109" i="6"/>
  <c r="I104" i="5"/>
  <c r="V112" i="5"/>
  <c r="U25" i="1"/>
  <c r="J101" i="6"/>
  <c r="I96" i="5"/>
  <c r="Q112" i="5"/>
  <c r="F131" i="6"/>
  <c r="E126" i="5"/>
  <c r="W38" i="1"/>
  <c r="I39" i="1"/>
  <c r="U131" i="6"/>
  <c r="I48" i="5"/>
  <c r="W48" i="5" s="1"/>
  <c r="Q25" i="1"/>
  <c r="U56" i="5"/>
  <c r="J65" i="6"/>
  <c r="W65" i="6" s="1"/>
  <c r="I94" i="5"/>
  <c r="H98" i="5" s="1"/>
  <c r="J100" i="6"/>
  <c r="GK34" i="1"/>
  <c r="L115" i="6"/>
  <c r="K110" i="5"/>
  <c r="S126" i="5"/>
  <c r="S131" i="6"/>
  <c r="Q44" i="5"/>
  <c r="J51" i="6"/>
  <c r="T25" i="1"/>
  <c r="S61" i="6"/>
  <c r="J63" i="6"/>
  <c r="T27" i="1"/>
  <c r="I112" i="5"/>
  <c r="X112" i="5" s="1"/>
  <c r="R123" i="6"/>
  <c r="R118" i="5"/>
  <c r="T38" i="1"/>
  <c r="T49" i="6"/>
  <c r="T44" i="5"/>
  <c r="L133" i="6"/>
  <c r="K128" i="5"/>
  <c r="CY24" i="1"/>
  <c r="X24" i="1" s="1"/>
  <c r="L41" i="6"/>
  <c r="K36" i="5"/>
  <c r="CZ24" i="1"/>
  <c r="Y24" i="1" s="1"/>
  <c r="O77" i="5"/>
  <c r="X77" i="5"/>
  <c r="W70" i="5"/>
  <c r="H77" i="5"/>
  <c r="J102" i="6"/>
  <c r="I97" i="5"/>
  <c r="V117" i="6"/>
  <c r="L120" i="6" s="1"/>
  <c r="J71" i="6"/>
  <c r="I66" i="5"/>
  <c r="X92" i="6"/>
  <c r="O92" i="6"/>
  <c r="I92" i="6"/>
  <c r="W84" i="6"/>
  <c r="L101" i="6"/>
  <c r="S112" i="5"/>
  <c r="CX6" i="3"/>
  <c r="F49" i="6"/>
  <c r="D50" i="6"/>
  <c r="C45" i="5"/>
  <c r="E44" i="5"/>
  <c r="I47" i="5"/>
  <c r="J52" i="6"/>
  <c r="CX7" i="3"/>
  <c r="I26" i="1"/>
  <c r="CX9" i="3"/>
  <c r="CX11" i="3"/>
  <c r="CX13" i="3"/>
  <c r="R25" i="1"/>
  <c r="V49" i="6"/>
  <c r="I95" i="5"/>
  <c r="W94" i="6"/>
  <c r="O105" i="5"/>
  <c r="H105" i="5"/>
  <c r="W101" i="5"/>
  <c r="X105" i="5"/>
  <c r="W127" i="5"/>
  <c r="W132" i="6"/>
  <c r="S44" i="5"/>
  <c r="Q49" i="6"/>
  <c r="I58" i="5"/>
  <c r="Q61" i="6"/>
  <c r="I114" i="5"/>
  <c r="J117" i="6"/>
  <c r="X117" i="6" s="1"/>
  <c r="GX38" i="1"/>
  <c r="K108" i="5"/>
  <c r="L113" i="6"/>
  <c r="U35" i="1"/>
  <c r="U117" i="6"/>
  <c r="J120" i="6" s="1"/>
  <c r="L116" i="6"/>
  <c r="K111" i="5"/>
  <c r="S117" i="6"/>
  <c r="J119" i="6" s="1"/>
  <c r="X110" i="6"/>
  <c r="O110" i="6"/>
  <c r="I110" i="6"/>
  <c r="W106" i="6"/>
  <c r="W46" i="5"/>
  <c r="W108" i="5"/>
  <c r="W113" i="6"/>
  <c r="GX27" i="1"/>
  <c r="CP30" i="1"/>
  <c r="O30" i="1" s="1"/>
  <c r="K80" i="5"/>
  <c r="L85" i="6"/>
  <c r="L43" i="6"/>
  <c r="K38" i="5"/>
  <c r="L84" i="6"/>
  <c r="K79" i="5"/>
  <c r="L75" i="6"/>
  <c r="K70" i="5"/>
  <c r="X82" i="6"/>
  <c r="W75" i="6"/>
  <c r="O82" i="6"/>
  <c r="I82" i="6"/>
  <c r="W120" i="5"/>
  <c r="O125" i="5"/>
  <c r="H125" i="5"/>
  <c r="X125" i="5"/>
  <c r="L87" i="6"/>
  <c r="K82" i="5"/>
  <c r="CP31" i="1"/>
  <c r="O31" i="1" s="1"/>
  <c r="W35" i="1"/>
  <c r="L95" i="6"/>
  <c r="K90" i="5"/>
  <c r="L106" i="6"/>
  <c r="K101" i="5"/>
  <c r="W36" i="5"/>
  <c r="O43" i="5"/>
  <c r="H43" i="5"/>
  <c r="X43" i="5"/>
  <c r="X48" i="6"/>
  <c r="O48" i="6"/>
  <c r="I48" i="6"/>
  <c r="W41" i="6"/>
  <c r="L97" i="6"/>
  <c r="K92" i="5"/>
  <c r="U112" i="5"/>
  <c r="I115" i="5" s="1"/>
  <c r="F61" i="6"/>
  <c r="D62" i="6"/>
  <c r="J64" i="6"/>
  <c r="I59" i="5"/>
  <c r="C57" i="5"/>
  <c r="E56" i="5"/>
  <c r="I28" i="1"/>
  <c r="P27" i="1"/>
  <c r="R27" i="1"/>
  <c r="GK31" i="1"/>
  <c r="L96" i="6"/>
  <c r="K91" i="5"/>
  <c r="Q117" i="6"/>
  <c r="V131" i="6"/>
  <c r="U44" i="5"/>
  <c r="J53" i="6"/>
  <c r="W53" i="6" s="1"/>
  <c r="I60" i="5"/>
  <c r="W60" i="5" s="1"/>
  <c r="U61" i="6"/>
  <c r="J99" i="6"/>
  <c r="I103" i="6" s="1"/>
  <c r="K115" i="5"/>
  <c r="O130" i="6"/>
  <c r="I130" i="6"/>
  <c r="W125" i="6"/>
  <c r="X130" i="6"/>
  <c r="S38" i="1"/>
  <c r="Q131" i="6"/>
  <c r="S49" i="6"/>
  <c r="W25" i="1"/>
  <c r="S56" i="5"/>
  <c r="W27" i="1"/>
  <c r="GK29" i="1"/>
  <c r="L77" i="6"/>
  <c r="K72" i="5"/>
  <c r="I113" i="5"/>
  <c r="J118" i="6"/>
  <c r="CY37" i="1"/>
  <c r="X37" i="1" s="1"/>
  <c r="CZ37" i="1"/>
  <c r="Y37" i="1" s="1"/>
  <c r="U38" i="1"/>
  <c r="GX25" i="1"/>
  <c r="CP24" i="1"/>
  <c r="O24" i="1" s="1"/>
  <c r="CZ32" i="1"/>
  <c r="Y32" i="1" s="1"/>
  <c r="CY32" i="1"/>
  <c r="X32" i="1" s="1"/>
  <c r="CZ29" i="1"/>
  <c r="Y29" i="1" s="1"/>
  <c r="CY29" i="1"/>
  <c r="X29" i="1" s="1"/>
  <c r="CP32" i="1"/>
  <c r="O32" i="1" s="1"/>
  <c r="CZ35" i="1"/>
  <c r="Y35" i="1" s="1"/>
  <c r="CY35" i="1"/>
  <c r="X35" i="1" s="1"/>
  <c r="GN36" i="1"/>
  <c r="GM36" i="1"/>
  <c r="AO22" i="1"/>
  <c r="F45" i="1"/>
  <c r="AO70" i="1"/>
  <c r="AU22" i="1"/>
  <c r="AU70" i="1"/>
  <c r="F60" i="1"/>
  <c r="CP35" i="1"/>
  <c r="O35" i="1" s="1"/>
  <c r="GN37" i="1"/>
  <c r="GM37" i="1"/>
  <c r="AP22" i="1"/>
  <c r="F50" i="1"/>
  <c r="G16" i="2" s="1"/>
  <c r="G18" i="2" s="1"/>
  <c r="AP70" i="1"/>
  <c r="AX22" i="1"/>
  <c r="F48" i="1"/>
  <c r="AX70" i="1"/>
  <c r="BB22" i="1"/>
  <c r="F54" i="1"/>
  <c r="BB70" i="1"/>
  <c r="GK24" i="1"/>
  <c r="CZ30" i="1"/>
  <c r="Y30" i="1" s="1"/>
  <c r="CY30" i="1"/>
  <c r="X30" i="1" s="1"/>
  <c r="CZ34" i="1"/>
  <c r="Y34" i="1" s="1"/>
  <c r="CY34" i="1"/>
  <c r="X34" i="1" s="1"/>
  <c r="CZ31" i="1"/>
  <c r="Y31" i="1" s="1"/>
  <c r="CY31" i="1"/>
  <c r="X31" i="1" s="1"/>
  <c r="CZ33" i="1"/>
  <c r="Y33" i="1" s="1"/>
  <c r="CY33" i="1"/>
  <c r="X33" i="1" s="1"/>
  <c r="R35" i="1"/>
  <c r="GK35" i="1" s="1"/>
  <c r="V35" i="1"/>
  <c r="AQ22" i="1"/>
  <c r="F51" i="1"/>
  <c r="AQ70" i="1"/>
  <c r="BC22" i="1"/>
  <c r="F57" i="1"/>
  <c r="BC70" i="1"/>
  <c r="GX35" i="1"/>
  <c r="CP38" i="1"/>
  <c r="O38" i="1" s="1"/>
  <c r="AT22" i="1"/>
  <c r="F59" i="1"/>
  <c r="F16" i="2" s="1"/>
  <c r="F18" i="2" s="1"/>
  <c r="AT70" i="1"/>
  <c r="AZ22" i="1"/>
  <c r="F52" i="1"/>
  <c r="AZ70" i="1"/>
  <c r="I122" i="6" l="1"/>
  <c r="X117" i="5"/>
  <c r="GM33" i="1"/>
  <c r="R99" i="5"/>
  <c r="K102" i="5" s="1"/>
  <c r="J105" i="5" s="1"/>
  <c r="R104" i="6"/>
  <c r="L107" i="6" s="1"/>
  <c r="L117" i="6"/>
  <c r="K112" i="5"/>
  <c r="T117" i="6"/>
  <c r="T112" i="5"/>
  <c r="R98" i="6"/>
  <c r="R93" i="5"/>
  <c r="J137" i="6"/>
  <c r="I132" i="5"/>
  <c r="L66" i="6"/>
  <c r="K61" i="5"/>
  <c r="O122" i="6"/>
  <c r="H117" i="5"/>
  <c r="J56" i="6"/>
  <c r="W51" i="6"/>
  <c r="CP25" i="1"/>
  <c r="O25" i="1" s="1"/>
  <c r="L52" i="6"/>
  <c r="K47" i="5"/>
  <c r="T61" i="6"/>
  <c r="T56" i="5"/>
  <c r="O98" i="5"/>
  <c r="T111" i="6"/>
  <c r="T106" i="5"/>
  <c r="K114" i="5" s="1"/>
  <c r="T104" i="6"/>
  <c r="L108" i="6" s="1"/>
  <c r="P110" i="6" s="1"/>
  <c r="T99" i="5"/>
  <c r="K103" i="5" s="1"/>
  <c r="GM30" i="1"/>
  <c r="R83" i="6"/>
  <c r="L88" i="6" s="1"/>
  <c r="P92" i="6" s="1"/>
  <c r="R78" i="5"/>
  <c r="K83" i="5" s="1"/>
  <c r="J87" i="5" s="1"/>
  <c r="L98" i="6"/>
  <c r="K93" i="5"/>
  <c r="T98" i="6"/>
  <c r="T93" i="5"/>
  <c r="T126" i="6"/>
  <c r="L128" i="6" s="1"/>
  <c r="T121" i="5"/>
  <c r="K123" i="5" s="1"/>
  <c r="I53" i="5"/>
  <c r="Q28" i="1"/>
  <c r="F67" i="6"/>
  <c r="E62" i="5"/>
  <c r="S62" i="5"/>
  <c r="I64" i="5" s="1"/>
  <c r="U62" i="5"/>
  <c r="P28" i="1"/>
  <c r="V62" i="5"/>
  <c r="K65" i="5" s="1"/>
  <c r="V28" i="1"/>
  <c r="W28" i="1"/>
  <c r="Q67" i="6"/>
  <c r="U67" i="6"/>
  <c r="R28" i="1"/>
  <c r="GK28" i="1" s="1"/>
  <c r="J67" i="6"/>
  <c r="X67" i="6" s="1"/>
  <c r="S67" i="6"/>
  <c r="V67" i="6"/>
  <c r="L70" i="6" s="1"/>
  <c r="U28" i="1"/>
  <c r="I62" i="5"/>
  <c r="X62" i="5" s="1"/>
  <c r="GX28" i="1"/>
  <c r="S28" i="1"/>
  <c r="T28" i="1"/>
  <c r="Q62" i="5"/>
  <c r="I63" i="5" s="1"/>
  <c r="X122" i="6"/>
  <c r="O117" i="5"/>
  <c r="O103" i="6"/>
  <c r="W63" i="6"/>
  <c r="R49" i="6"/>
  <c r="R44" i="5"/>
  <c r="R61" i="6"/>
  <c r="R56" i="5"/>
  <c r="GN31" i="1"/>
  <c r="R93" i="6"/>
  <c r="L99" i="6" s="1"/>
  <c r="P103" i="6" s="1"/>
  <c r="R88" i="5"/>
  <c r="K94" i="5" s="1"/>
  <c r="T83" i="6"/>
  <c r="L89" i="6" s="1"/>
  <c r="T78" i="5"/>
  <c r="K84" i="5" s="1"/>
  <c r="GM29" i="1"/>
  <c r="R73" i="6"/>
  <c r="L78" i="6" s="1"/>
  <c r="P82" i="6" s="1"/>
  <c r="R68" i="5"/>
  <c r="K73" i="5" s="1"/>
  <c r="P77" i="5" s="1"/>
  <c r="R121" i="5"/>
  <c r="K122" i="5" s="1"/>
  <c r="R126" i="6"/>
  <c r="L127" i="6" s="1"/>
  <c r="J70" i="6"/>
  <c r="J68" i="6"/>
  <c r="I72" i="6" s="1"/>
  <c r="X103" i="6"/>
  <c r="R34" i="5"/>
  <c r="K39" i="5" s="1"/>
  <c r="J43" i="5" s="1"/>
  <c r="R39" i="6"/>
  <c r="L44" i="6" s="1"/>
  <c r="P48" i="6" s="1"/>
  <c r="J69" i="6"/>
  <c r="J59" i="6"/>
  <c r="I54" i="5"/>
  <c r="X98" i="5"/>
  <c r="T93" i="6"/>
  <c r="L100" i="6" s="1"/>
  <c r="K103" i="6" s="1"/>
  <c r="T88" i="5"/>
  <c r="GM34" i="1"/>
  <c r="R111" i="6"/>
  <c r="L118" i="6" s="1"/>
  <c r="R106" i="5"/>
  <c r="R117" i="6"/>
  <c r="R112" i="5"/>
  <c r="T73" i="6"/>
  <c r="L79" i="6" s="1"/>
  <c r="K82" i="6" s="1"/>
  <c r="T68" i="5"/>
  <c r="K74" i="5" s="1"/>
  <c r="CZ38" i="1"/>
  <c r="Y38" i="1" s="1"/>
  <c r="K127" i="5"/>
  <c r="L132" i="6"/>
  <c r="CY38" i="1"/>
  <c r="X38" i="1" s="1"/>
  <c r="GK27" i="1"/>
  <c r="L65" i="6"/>
  <c r="K60" i="5"/>
  <c r="P105" i="5"/>
  <c r="AJ41" i="1"/>
  <c r="W58" i="5"/>
  <c r="I26" i="5" s="1"/>
  <c r="GK25" i="1"/>
  <c r="L53" i="6"/>
  <c r="K48" i="5"/>
  <c r="Q26" i="1"/>
  <c r="AD41" i="1" s="1"/>
  <c r="F55" i="6"/>
  <c r="E50" i="5"/>
  <c r="R26" i="1"/>
  <c r="GK26" i="1" s="1"/>
  <c r="V26" i="1"/>
  <c r="AI41" i="1" s="1"/>
  <c r="Q50" i="5"/>
  <c r="I51" i="5" s="1"/>
  <c r="U50" i="5"/>
  <c r="U55" i="6"/>
  <c r="J58" i="6" s="1"/>
  <c r="P26" i="1"/>
  <c r="J55" i="6"/>
  <c r="X55" i="6" s="1"/>
  <c r="W26" i="1"/>
  <c r="Q55" i="6"/>
  <c r="GX26" i="1"/>
  <c r="CJ41" i="1" s="1"/>
  <c r="I50" i="5"/>
  <c r="X50" i="5" s="1"/>
  <c r="S26" i="1"/>
  <c r="S50" i="5"/>
  <c r="I52" i="5" s="1"/>
  <c r="V55" i="6"/>
  <c r="L58" i="6" s="1"/>
  <c r="T26" i="1"/>
  <c r="AG41" i="1" s="1"/>
  <c r="S55" i="6"/>
  <c r="J57" i="6" s="1"/>
  <c r="X60" i="6" s="1"/>
  <c r="V50" i="5"/>
  <c r="K53" i="5" s="1"/>
  <c r="U26" i="1"/>
  <c r="AH41" i="1" s="1"/>
  <c r="T34" i="5"/>
  <c r="K40" i="5" s="1"/>
  <c r="T39" i="6"/>
  <c r="L45" i="6" s="1"/>
  <c r="I65" i="5"/>
  <c r="Q39" i="1"/>
  <c r="F134" i="6"/>
  <c r="E129" i="5"/>
  <c r="GX39" i="1"/>
  <c r="J134" i="6"/>
  <c r="X134" i="6" s="1"/>
  <c r="W39" i="1"/>
  <c r="S129" i="5"/>
  <c r="I131" i="5" s="1"/>
  <c r="V129" i="5"/>
  <c r="I129" i="5"/>
  <c r="X129" i="5" s="1"/>
  <c r="S39" i="1"/>
  <c r="Q129" i="5"/>
  <c r="I130" i="5" s="1"/>
  <c r="T39" i="1"/>
  <c r="U134" i="6"/>
  <c r="P39" i="1"/>
  <c r="R39" i="1"/>
  <c r="GK39" i="1" s="1"/>
  <c r="U39" i="1"/>
  <c r="Q134" i="6"/>
  <c r="J135" i="6" s="1"/>
  <c r="V134" i="6"/>
  <c r="V39" i="1"/>
  <c r="S134" i="6"/>
  <c r="J136" i="6" s="1"/>
  <c r="U129" i="5"/>
  <c r="CP27" i="1"/>
  <c r="O27" i="1" s="1"/>
  <c r="AT18" i="1"/>
  <c r="F88" i="1"/>
  <c r="J23" i="5" s="1"/>
  <c r="GM32" i="1"/>
  <c r="GN32" i="1"/>
  <c r="GM31" i="1"/>
  <c r="GN34" i="1"/>
  <c r="GN30" i="1"/>
  <c r="GN29" i="1"/>
  <c r="GN33" i="1"/>
  <c r="AQ18" i="1"/>
  <c r="F80" i="1"/>
  <c r="AE41" i="1"/>
  <c r="BB18" i="1"/>
  <c r="F83" i="1"/>
  <c r="AP18" i="1"/>
  <c r="F79" i="1"/>
  <c r="J24" i="5" s="1"/>
  <c r="AZ18" i="1"/>
  <c r="F81" i="1"/>
  <c r="GM38" i="1"/>
  <c r="GN38" i="1"/>
  <c r="BC18" i="1"/>
  <c r="F86" i="1"/>
  <c r="AX18" i="1"/>
  <c r="F77" i="1"/>
  <c r="GM35" i="1"/>
  <c r="GN35" i="1"/>
  <c r="AU18" i="1"/>
  <c r="F89" i="1"/>
  <c r="AO18" i="1"/>
  <c r="F74" i="1"/>
  <c r="GN24" i="1"/>
  <c r="GM24" i="1"/>
  <c r="AG22" i="1" l="1"/>
  <c r="T41" i="1"/>
  <c r="H55" i="5"/>
  <c r="X55" i="5"/>
  <c r="O55" i="5"/>
  <c r="O67" i="5"/>
  <c r="X67" i="5"/>
  <c r="I22" i="5" s="1"/>
  <c r="H67" i="5"/>
  <c r="AH22" i="1"/>
  <c r="U41" i="1"/>
  <c r="Q41" i="1"/>
  <c r="AD22" i="1"/>
  <c r="O60" i="6"/>
  <c r="O138" i="6"/>
  <c r="I138" i="6"/>
  <c r="X138" i="6"/>
  <c r="CJ22" i="1"/>
  <c r="BA41" i="1"/>
  <c r="V41" i="1"/>
  <c r="AI22" i="1"/>
  <c r="K130" i="6"/>
  <c r="P130" i="6"/>
  <c r="J125" i="5"/>
  <c r="P125" i="5"/>
  <c r="GM27" i="1"/>
  <c r="GN27" i="1"/>
  <c r="K48" i="6"/>
  <c r="GN25" i="1"/>
  <c r="GM25" i="1"/>
  <c r="K110" i="6"/>
  <c r="P87" i="5"/>
  <c r="T126" i="5"/>
  <c r="T131" i="6"/>
  <c r="X72" i="6"/>
  <c r="J77" i="5"/>
  <c r="CY28" i="1"/>
  <c r="X28" i="1" s="1"/>
  <c r="CZ28" i="1"/>
  <c r="Y28" i="1" s="1"/>
  <c r="I60" i="6"/>
  <c r="K92" i="6"/>
  <c r="O72" i="6"/>
  <c r="H133" i="5"/>
  <c r="O133" i="5"/>
  <c r="X133" i="5"/>
  <c r="CP39" i="1"/>
  <c r="O39" i="1" s="1"/>
  <c r="CZ39" i="1"/>
  <c r="Y39" i="1" s="1"/>
  <c r="CY39" i="1"/>
  <c r="X39" i="1" s="1"/>
  <c r="CY26" i="1"/>
  <c r="X26" i="1" s="1"/>
  <c r="CZ26" i="1"/>
  <c r="Y26" i="1" s="1"/>
  <c r="AF41" i="1"/>
  <c r="R131" i="6"/>
  <c r="R126" i="5"/>
  <c r="K95" i="5"/>
  <c r="P98" i="5" s="1"/>
  <c r="CP28" i="1"/>
  <c r="O28" i="1" s="1"/>
  <c r="L119" i="6"/>
  <c r="P122" i="6" s="1"/>
  <c r="P43" i="5"/>
  <c r="CP26" i="1"/>
  <c r="O26" i="1" s="1"/>
  <c r="AC41" i="1"/>
  <c r="AJ22" i="1"/>
  <c r="W41" i="1"/>
  <c r="K113" i="5"/>
  <c r="AE22" i="1"/>
  <c r="R41" i="1"/>
  <c r="BA22" i="1"/>
  <c r="F61" i="1"/>
  <c r="H16" i="2" s="1"/>
  <c r="H18" i="2" s="1"/>
  <c r="BA70" i="1"/>
  <c r="V22" i="1"/>
  <c r="V70" i="1"/>
  <c r="F64" i="1"/>
  <c r="AF22" i="1" l="1"/>
  <c r="S41" i="1"/>
  <c r="T134" i="6"/>
  <c r="T129" i="5"/>
  <c r="T67" i="6"/>
  <c r="L69" i="6" s="1"/>
  <c r="T62" i="5"/>
  <c r="K64" i="5" s="1"/>
  <c r="Q70" i="1"/>
  <c r="Q22" i="1"/>
  <c r="F53" i="1"/>
  <c r="L55" i="6"/>
  <c r="K50" i="5"/>
  <c r="GM26" i="1"/>
  <c r="GN26" i="1"/>
  <c r="AB41" i="1"/>
  <c r="T55" i="6"/>
  <c r="L57" i="6" s="1"/>
  <c r="T50" i="5"/>
  <c r="K52" i="5" s="1"/>
  <c r="AL41" i="1"/>
  <c r="L134" i="6"/>
  <c r="K129" i="5"/>
  <c r="GN39" i="1"/>
  <c r="GM39" i="1"/>
  <c r="R67" i="6"/>
  <c r="L68" i="6" s="1"/>
  <c r="R62" i="5"/>
  <c r="K63" i="5" s="1"/>
  <c r="L136" i="6"/>
  <c r="U22" i="1"/>
  <c r="F63" i="1"/>
  <c r="U70" i="1"/>
  <c r="K122" i="6"/>
  <c r="W70" i="1"/>
  <c r="F65" i="1"/>
  <c r="W22" i="1"/>
  <c r="R55" i="6"/>
  <c r="L56" i="6" s="1"/>
  <c r="R50" i="5"/>
  <c r="K51" i="5" s="1"/>
  <c r="AK41" i="1"/>
  <c r="K131" i="5"/>
  <c r="I144" i="6"/>
  <c r="I140" i="6"/>
  <c r="J98" i="5"/>
  <c r="H139" i="5"/>
  <c r="H135" i="5"/>
  <c r="I21" i="5"/>
  <c r="F62" i="1"/>
  <c r="T70" i="1"/>
  <c r="T22" i="1"/>
  <c r="P117" i="5"/>
  <c r="J117" i="5"/>
  <c r="CF41" i="1"/>
  <c r="AC22" i="1"/>
  <c r="CH41" i="1"/>
  <c r="CE41" i="1"/>
  <c r="P41" i="1"/>
  <c r="L67" i="6"/>
  <c r="K62" i="5"/>
  <c r="GM28" i="1"/>
  <c r="GN28" i="1"/>
  <c r="R134" i="6"/>
  <c r="L135" i="6" s="1"/>
  <c r="R129" i="5"/>
  <c r="K130" i="5" s="1"/>
  <c r="BA18" i="1"/>
  <c r="F90" i="1"/>
  <c r="J25" i="5" s="1"/>
  <c r="V18" i="1"/>
  <c r="F93" i="1"/>
  <c r="R22" i="1"/>
  <c r="F55" i="1"/>
  <c r="R70" i="1"/>
  <c r="P138" i="6" l="1"/>
  <c r="K138" i="6"/>
  <c r="P133" i="5"/>
  <c r="J133" i="5"/>
  <c r="AY41" i="1"/>
  <c r="CH22" i="1"/>
  <c r="J55" i="5"/>
  <c r="P55" i="5"/>
  <c r="K72" i="6"/>
  <c r="P72" i="6"/>
  <c r="CA41" i="1"/>
  <c r="P60" i="6"/>
  <c r="K60" i="6"/>
  <c r="F94" i="1"/>
  <c r="W18" i="1"/>
  <c r="Y41" i="1"/>
  <c r="AL22" i="1"/>
  <c r="F82" i="1"/>
  <c r="Q18" i="1"/>
  <c r="P22" i="1"/>
  <c r="P70" i="1"/>
  <c r="F44" i="1"/>
  <c r="CF22" i="1"/>
  <c r="AW41" i="1"/>
  <c r="F91" i="1"/>
  <c r="T18" i="1"/>
  <c r="O41" i="1"/>
  <c r="AB22" i="1"/>
  <c r="F56" i="1"/>
  <c r="J16" i="2" s="1"/>
  <c r="J18" i="2" s="1"/>
  <c r="S22" i="1"/>
  <c r="S70" i="1"/>
  <c r="AV41" i="1"/>
  <c r="CE22" i="1"/>
  <c r="AK22" i="1"/>
  <c r="X41" i="1"/>
  <c r="U18" i="1"/>
  <c r="F92" i="1"/>
  <c r="J67" i="5"/>
  <c r="P67" i="5"/>
  <c r="CB41" i="1"/>
  <c r="R18" i="1"/>
  <c r="F84" i="1"/>
  <c r="CB22" i="1" l="1"/>
  <c r="AS41" i="1"/>
  <c r="AV22" i="1"/>
  <c r="F46" i="1"/>
  <c r="AV70" i="1"/>
  <c r="AW22" i="1"/>
  <c r="F47" i="1"/>
  <c r="AW70" i="1"/>
  <c r="Y22" i="1"/>
  <c r="F67" i="1"/>
  <c r="Y70" i="1"/>
  <c r="K144" i="6"/>
  <c r="K140" i="6"/>
  <c r="J139" i="5"/>
  <c r="J135" i="5"/>
  <c r="X22" i="1"/>
  <c r="X70" i="1"/>
  <c r="F66" i="1"/>
  <c r="S18" i="1"/>
  <c r="F85" i="1"/>
  <c r="J26" i="5" s="1"/>
  <c r="F43" i="1"/>
  <c r="O22" i="1"/>
  <c r="O70" i="1"/>
  <c r="CA22" i="1"/>
  <c r="AR41" i="1"/>
  <c r="P18" i="1"/>
  <c r="F73" i="1"/>
  <c r="F49" i="1"/>
  <c r="AY70" i="1"/>
  <c r="AY22" i="1"/>
  <c r="AW18" i="1" l="1"/>
  <c r="F76" i="1"/>
  <c r="F72" i="1"/>
  <c r="O18" i="1"/>
  <c r="F96" i="1"/>
  <c r="Y18" i="1"/>
  <c r="AS22" i="1"/>
  <c r="AS70" i="1"/>
  <c r="F58" i="1"/>
  <c r="E16" i="2" s="1"/>
  <c r="AY18" i="1"/>
  <c r="F78" i="1"/>
  <c r="F68" i="1"/>
  <c r="H31" i="6" s="1"/>
  <c r="AR70" i="1"/>
  <c r="AR22" i="1"/>
  <c r="X18" i="1"/>
  <c r="F95" i="1"/>
  <c r="AV18" i="1"/>
  <c r="F75" i="1"/>
  <c r="AS18" i="1" l="1"/>
  <c r="F87" i="1"/>
  <c r="J22" i="5" s="1"/>
  <c r="F97" i="1"/>
  <c r="F98" i="1" s="1"/>
  <c r="AR18" i="1"/>
  <c r="I16" i="2"/>
  <c r="I18" i="2" s="1"/>
  <c r="E18" i="2"/>
  <c r="K147" i="6" l="1"/>
  <c r="J142" i="5"/>
  <c r="F99" i="1"/>
  <c r="F100" i="1" l="1"/>
  <c r="K148" i="6"/>
  <c r="J143" i="5"/>
  <c r="K149" i="6" l="1"/>
  <c r="J144" i="5"/>
  <c r="J21" i="5"/>
</calcChain>
</file>

<file path=xl/sharedStrings.xml><?xml version="1.0" encoding="utf-8"?>
<sst xmlns="http://schemas.openxmlformats.org/spreadsheetml/2006/main" count="2035" uniqueCount="375">
  <si>
    <t>Smeta.RU  (495) 974-1589</t>
  </si>
  <si>
    <t>_PS_</t>
  </si>
  <si>
    <t>Smeta.RU</t>
  </si>
  <si>
    <t/>
  </si>
  <si>
    <t>КЛ-0,4 от ул.Центральная, д.6 до ул.Центральная, д.8.  Благоустройство.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</si>
  <si>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</si>
  <si>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</si>
  <si>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</si>
  <si>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</si>
  <si>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</si>
  <si>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</si>
  <si>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</si>
  <si>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</si>
  <si>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</si>
  <si>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</si>
  <si>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</si>
  <si>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</si>
  <si>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</si>
  <si>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</si>
  <si>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</si>
  <si>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Благоустройство.</t>
  </si>
  <si>
    <t>1</t>
  </si>
  <si>
    <t>6.68-51-4</t>
  </si>
  <si>
    <t>РАЗБОРКА ПОКРЫТИЙ И ОСНОВАНИЙ АСФАЛЬТОБЕТОННЫХ</t>
  </si>
  <si>
    <t>100 м3</t>
  </si>
  <si>
    <t>ТСН-2001.6. База. Сб.68, т.51, поз.4</t>
  </si>
  <si>
    <t>Поправка: ТСН-2001.6. прил.2. п.4  Наименование: Производство работ в действующих цехах и помещениях с вредными условиями труда, а также при температуре воздуха на рабочем месте более 40°C в помещениях</t>
  </si>
  <si>
    <t>)*1,25</t>
  </si>
  <si>
    <t>Ремонтно-строительные работы</t>
  </si>
  <si>
    <t>ТСН-2001.6-68. 68-51...68-53</t>
  </si>
  <si>
    <t>ТСН-2001.6-68-21</t>
  </si>
  <si>
    <t>Поправка: ТСН-2001.6. прил.2. п.4</t>
  </si>
  <si>
    <t>2</t>
  </si>
  <si>
    <t>3.27-12-1</t>
  </si>
  <si>
    <t>УСТРОЙСТВО ПОДСТИЛАЮЩИХ И ВЫРАВНИВАЮЩИХ СЛОЕВ ОСНОВАНИЙ ИЗ ПЕСКА</t>
  </si>
  <si>
    <t>ТСН-2001.3. База. Сб.27, т.12, поз.1</t>
  </si>
  <si>
    <t>Поправка: ТСН-2001.3. Пр.2. п.4  Наименование: 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</si>
  <si>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)*1,15</t>
  </si>
  <si>
    <t>Строительные работы</t>
  </si>
  <si>
    <t>ТСН-2001.3-27. 27-1...27-21</t>
  </si>
  <si>
    <t>ТСН-2001.3-27-1</t>
  </si>
  <si>
    <t>Поправка: ТСН-2001.3. Пр.2. п.4</t>
  </si>
  <si>
    <t>2,1</t>
  </si>
  <si>
    <t>1.1-1-766</t>
  </si>
  <si>
    <t>ПЕСОК ДЛЯ СТРОИТЕЛЬНЫХ РАБОТ, РЯДОВОЙ</t>
  </si>
  <si>
    <t>м3</t>
  </si>
  <si>
    <t>ТСН-2001.1. База. Р.1, о.1, поз.766</t>
  </si>
  <si>
    <t>3</t>
  </si>
  <si>
    <t>3.27-12-2</t>
  </si>
  <si>
    <t>УСТРОЙСТВО ПОДСТИЛАЮЩИХ И ВЫРАВНИВАЮЩИХ СЛОЕВ ОСНОВАНИЙ ИЗ ЩЕБНЯ</t>
  </si>
  <si>
    <t>ТСН-2001.3. База. Сб.27, т.12, поз.2</t>
  </si>
  <si>
    <t>3,1</t>
  </si>
  <si>
    <t>1.1-1-1553</t>
  </si>
  <si>
    <t>ЩЕБЕНЬ ИЗ ЕСТЕСТВЕННОГО КАМНЯ ДЛЯ ДОРОЖНЫХ РАБОТ, МАРКА 1200 - 800, ФРАКЦИЯ 5 - 10 ММ</t>
  </si>
  <si>
    <t>ТСН-2001.1. База. Р.1, о.1, поз.1553</t>
  </si>
  <si>
    <t>4</t>
  </si>
  <si>
    <t>3.1-29-2</t>
  </si>
  <si>
    <t>УПЛОТНЕНИЕ ГРУНТА ПНЕВМАТИЧЕСКИМИ ТРАМБОВКАМИ ГРУППА ГРУНТОВ 3,4    (ПРИМЕЧАНИЕ: СП 76.13330.2016, п.6.4.1.31)</t>
  </si>
  <si>
    <t>ТСН-2001.3. База. Сб.1, т.29, поз.2</t>
  </si>
  <si>
    <t>ТСН-2001.3-1. 1-29...1-33</t>
  </si>
  <si>
    <t>ТСН-2001.3-1-9</t>
  </si>
  <si>
    <t>5</t>
  </si>
  <si>
    <t>3.1-30-1</t>
  </si>
  <si>
    <t>ПОЛИВ ВОДОЙ УПЛОТНЯЕМОГО ГРУНТА НАСЫПЕЙ</t>
  </si>
  <si>
    <t>1000 м3</t>
  </si>
  <si>
    <t>ТСН-2001.3. База. Сб.1, т.30, поз.1</t>
  </si>
  <si>
    <t>Поправка: ТСН-2001.3. Пр.2. п.3  Наименование: Строительство новых объектов в стесненных условиях: на территории действующих предприятий, имеющих разветвленную сеть транспортных и инженерных коммуникаций и стесненные условия для складирования материалов</t>
  </si>
  <si>
    <t>Поправка: ТСН-2001.3. Пр.2. п.3</t>
  </si>
  <si>
    <t>6</t>
  </si>
  <si>
    <t>3.27-42-1</t>
  </si>
  <si>
    <t>УСТРОЙСТВО ПОКРЫТИЙ ИЗ ГОРЯЧИХ АСФАЛЬТОБЕТОННЫХ СМЕСЕЙ ТОЛЩИНОЙ 4 СМ КОМПЛЕКТОМ МАШИН</t>
  </si>
  <si>
    <t>100 м2</t>
  </si>
  <si>
    <t>ТСН-2001.3. Доп.56. Сб.27, т.42, поз.1</t>
  </si>
  <si>
    <t>ТСН-2001.3-27. 27-42...27-46</t>
  </si>
  <si>
    <t>ТСН-2001.3-27-13</t>
  </si>
  <si>
    <t>6,1</t>
  </si>
  <si>
    <t>1.3-3-3</t>
  </si>
  <si>
    <t>СМЕСИ АСФАЛЬТОБЕТОННЫЕ ДОРОЖНЫЕ ГОРЯЧИЕ КРУПНОЗЕРНИСТЫЕ, ТИП I</t>
  </si>
  <si>
    <t>т</t>
  </si>
  <si>
    <t>ТСН-2001.1. База. Р.3, о.3, поз.3</t>
  </si>
  <si>
    <t>7</t>
  </si>
  <si>
    <t>6.68-53-1</t>
  </si>
  <si>
    <t>РАЗБОРКА БОРТОВЫХ КАМНЕЙ НА БЕТОННОМ ОСНОВАНИИ</t>
  </si>
  <si>
    <t>100 м</t>
  </si>
  <si>
    <t>ТСН-2001.6. База. Сб.68, т.53, поз.1</t>
  </si>
  <si>
    <t>)*1,2</t>
  </si>
  <si>
    <t>Поправка: ТСН-2001.6-68. О.П. п.1. 3</t>
  </si>
  <si>
    <t>8</t>
  </si>
  <si>
    <t>3.27-26-6</t>
  </si>
  <si>
    <t>УСТАНОВКА БОРТОВЫХ КАМНЕЙ БЕТОННЫХ ГАЗОННЫХ И САДОВЫХ ПРИ ДРУГИХ ВИДАХ ПОКРЫТИЙ</t>
  </si>
  <si>
    <t>ТСН-2001.3. Доп.29. Сб.27, т.26, поз.6</t>
  </si>
  <si>
    <t>ТСН-2001.3-27. 27-26-5, 27-26-6 (доп. 29)</t>
  </si>
  <si>
    <t>ТСН-2001.3-27-40</t>
  </si>
  <si>
    <t>8,1</t>
  </si>
  <si>
    <t>1.5-3-404</t>
  </si>
  <si>
    <t>КАМНИ БЕТОННЫЕ БОРТОВЫЕ ГАЗОННЫЕ, МАРКА 3ГБ 40.6.16, ЦВЕТ СЕРЫЙ</t>
  </si>
  <si>
    <t>ТСН-2001.1. База. Р.5, о.3, поз.404</t>
  </si>
  <si>
    <t>9</t>
  </si>
  <si>
    <t>3.47-26-4</t>
  </si>
  <si>
    <t>ПОДГОТОВКА ПОЧВЫ ДЛЯ УСТРОЙСТВА ПАРТЕРНОГО И ОБЫКНОВЕННОГО ГАЗОНОВ С ВНЕСЕНИЕМ РАСТИТЕЛЬНОЙ ЗЕМЛИ СЛОЕМ 15 СМ ВРУЧНУЮ</t>
  </si>
  <si>
    <t>ТСН-2001.3. База. Сб.47, т.26, поз.4</t>
  </si>
  <si>
    <t>ТСН-2001.3-47. 47-23...47-33</t>
  </si>
  <si>
    <t>ТСН-2001.3-47-4</t>
  </si>
  <si>
    <t>9,1</t>
  </si>
  <si>
    <t>1.4-6-1</t>
  </si>
  <si>
    <t>ЗЕМЛЯ РАСТИТЕЛЬНАЯ</t>
  </si>
  <si>
    <t>ТСН-2001.1. База. Р.4, о.6, поз.1</t>
  </si>
  <si>
    <t>10</t>
  </si>
  <si>
    <t>3.47-26-6</t>
  </si>
  <si>
    <t>ПОСЕВ ГАЗОНОВ ПАРТЕРНЫХ, МАВРИТАНСКИХ, И ОБЫКНОВЕННЫХ ВРУЧНУЮ</t>
  </si>
  <si>
    <t>ТСН-2001.3. База. Сб.47, т.26, поз.6</t>
  </si>
  <si>
    <t>10,1</t>
  </si>
  <si>
    <t>1.4-4-19</t>
  </si>
  <si>
    <t>УДОБРЕНИЯ КОМПЛЕСНЫЕ МИНЕРАЛЬНЫЕ ДЛЯ ГАЗОНОВ</t>
  </si>
  <si>
    <t>кг</t>
  </si>
  <si>
    <t>ТСН-2001.1. Доп.12. Р.4, о.4, поз.19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</si>
  <si>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</si>
  <si>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</si>
  <si>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</si>
  <si>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</si>
  <si>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</si>
  <si>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</si>
  <si>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</si>
  <si>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</si>
  <si>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</si>
  <si>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</si>
  <si>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</si>
  <si>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</si>
  <si>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</si>
  <si>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</si>
  <si>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</si>
  <si>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</si>
  <si>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</si>
  <si>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</si>
  <si>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</si>
  <si>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</si>
  <si>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</si>
  <si>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</si>
  <si>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</si>
  <si>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</si>
  <si>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</si>
  <si>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</si>
  <si>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</si>
  <si>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</si>
  <si>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</si>
  <si>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</si>
  <si>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</si>
  <si>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</si>
  <si>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</si>
  <si>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</si>
  <si>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</si>
  <si>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</si>
  <si>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</si>
  <si>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</si>
  <si>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</si>
  <si>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</si>
  <si>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</si>
  <si>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</si>
  <si>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</si>
  <si>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</si>
  <si>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</si>
  <si>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</si>
  <si>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</si>
  <si>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</si>
  <si>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</si>
  <si>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</si>
  <si>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</si>
  <si>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</si>
  <si>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</si>
  <si>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</si>
  <si>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</si>
  <si>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</si>
  <si>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</si>
  <si>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</si>
  <si>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</si>
  <si>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168</t>
  </si>
  <si>
    <t>_OBSM_</t>
  </si>
  <si>
    <t>9999990008</t>
  </si>
  <si>
    <t>ТРУДОЗАТРАТЫ РАБОЧИХ (ЭСН)</t>
  </si>
  <si>
    <t>чел.-ч.</t>
  </si>
  <si>
    <t>2.0-0-0</t>
  </si>
  <si>
    <t>СТОИМОСТЬ ПРОЧИХ МАШИН (ЭСН)</t>
  </si>
  <si>
    <t>руб.</t>
  </si>
  <si>
    <t>2.1-10-5</t>
  </si>
  <si>
    <t>ТСН-2001.2. Доп.46. п.1-10-5 (101002)</t>
  </si>
  <si>
    <t>КОМПРЕССОРЫ ПРИЦЕПНЫЕ С ДВИГАТЕЛЕМ ВНУТРЕННЕГО СГОРАНИЯ, ПРОИЗВОДИТЕЛЬНОСТЬ ДО 5 М3/МИН, МОЩНОСТЬ ДВИГАТЕЛЯ ДО 29 КВТ (39,4 Л.С.)</t>
  </si>
  <si>
    <t>маш.-ч</t>
  </si>
  <si>
    <t>2.1-30-54</t>
  </si>
  <si>
    <t>ТСН-2001.2. База. п.1-30-54 (308901)</t>
  </si>
  <si>
    <t>МОЛОТКИ ОТБОЙНЫЕ</t>
  </si>
  <si>
    <t>2.1-5-48</t>
  </si>
  <si>
    <t>ТСН-2001.2. База. п.1-5-48 (056003)</t>
  </si>
  <si>
    <t>АВТОГРЕЙДЕРЫ, МОЩНОСТЬ 99-147 КВТ (130-200 Л.С.)</t>
  </si>
  <si>
    <t>2.1-2-1</t>
  </si>
  <si>
    <t>ТСН-2001.2. База. п.1-2-1 (020101)</t>
  </si>
  <si>
    <t>ТРАКТОРЫ НА ГУСЕНИЧНОМ ХОДУ, МОЩНОСТЬ ДО 60 (81) КВТ (Л.С.)</t>
  </si>
  <si>
    <t>2.1-5-15</t>
  </si>
  <si>
    <t>ТСН-2001.2. База. п.1-5-15 (050703)</t>
  </si>
  <si>
    <t>КАТКИ ПРИЦЕПНЫЕ ПНЕВМОКОЛЕСНЫЕ, МАССА ДО 50 Т</t>
  </si>
  <si>
    <t>2.1-5-18</t>
  </si>
  <si>
    <t>ТСН-2001.2. База. п.1-5-18 (050902)</t>
  </si>
  <si>
    <t>ПОЛИВОМОЕЧНЫЕ МАШИНЫ, ЕМКОСТЬ ЦИСТЕРНЫ БОЛЕЕ 5000 Л</t>
  </si>
  <si>
    <t>2.1-5-7</t>
  </si>
  <si>
    <t>ТСН-2001.2. База. п.1-5-7 (050301)</t>
  </si>
  <si>
    <t>КАТКИ ДОРОЖНЫЕ САМОХОДНЫЕ НА ПНЕВМОКОЛЕСНОМ ХОДУ, МАССА ДО 16 Т</t>
  </si>
  <si>
    <t>1.1-1-118</t>
  </si>
  <si>
    <t>ТСН-2001.1. База. Р.1, о.1, поз.118</t>
  </si>
  <si>
    <t>ВОДА</t>
  </si>
  <si>
    <t>2.1-1-43</t>
  </si>
  <si>
    <t>ТСН-2001.2. База. п.1-1-43 (012102)</t>
  </si>
  <si>
    <t>БУЛЬДОЗЕРЫ ГУСЕНИЧНЫЕ, МОЩНОСТЬ ДО 59 КВТ (80 Л.С.)</t>
  </si>
  <si>
    <t>2.1-5-2</t>
  </si>
  <si>
    <t>ТСН-2001.2. База. п.1-5-2 (050102)</t>
  </si>
  <si>
    <t>КАТКИ САМОХОДНЫЕ ВИБРАЦИОННЫЕ, МАССА ДО 8 Т</t>
  </si>
  <si>
    <t>2.1-5-3</t>
  </si>
  <si>
    <t>ТСН-2001.2. База. п.1-5-3 (050103)</t>
  </si>
  <si>
    <t>КАТКИ САМОХОДНЫЕ ВИБРАЦИОННЫЕ, МАССА БОЛЕЕ 8 Т</t>
  </si>
  <si>
    <t>КОМПРЕССОРЫ ПРИЦЕПНЫЕ С  ДВИГАТЕЛЕМ ВНУТРЕННЕГО СГОРАНИЯ, ПРОИЗВОДИТЕЛЬНОСТЬ ДО 5 М3/МИН, МОЩНОСТЬ ДВИГАТЕЛЯ ДО 29 КВТ (39,4 Л.С.)</t>
  </si>
  <si>
    <t>2.1-30-1</t>
  </si>
  <si>
    <t>ТСН-2001.2. База. п.1-30-1 (301201)</t>
  </si>
  <si>
    <t>ТРАМБОВКИ ПНЕВМАТИЧЕСКИЕ</t>
  </si>
  <si>
    <t>2.1-4-3</t>
  </si>
  <si>
    <t>ТСН-2001.2. База. п.1-4-3 (040103)</t>
  </si>
  <si>
    <t>ПОГРУЗЧИКИ УНИВЕРСАЛЬНЫЕ НА ПНЕВМОКОЛЕСНОМ ХОДУ, ГРУЗОПОДЪЕМНОСТЬ ДО 3 Т</t>
  </si>
  <si>
    <t>ТСН-2001.2. Доп.56. п.1-5-18 (050902)</t>
  </si>
  <si>
    <t>МАШИНЫ ПОЛИВОМОЕЧНЫЕ, ЕМКОСТЬ ЦИСТЕРНЫ ДО 8 М3</t>
  </si>
  <si>
    <t>2.1-5-19</t>
  </si>
  <si>
    <t>ТСН-2001.2. База. п.1-5-19 (051001)</t>
  </si>
  <si>
    <t>АСФАЛЬТОУКЛАДЧИКИ, ПРОИЗВОДИТЕЛЬНОСТЬ ДО 350 Т/Ч</t>
  </si>
  <si>
    <t>ТСН-2001.2. Доп.55. п.1-5-2 (050102)</t>
  </si>
  <si>
    <t>2.1-5-35</t>
  </si>
  <si>
    <t>ТСН-2001.2. База. п.1-5-35 (053601)</t>
  </si>
  <si>
    <t>АВТОГУДРОНАТОРЫ БИТУМНЫЕ, ЕМКОСТЬ ДО 3500 Л</t>
  </si>
  <si>
    <t>2.1-5-6</t>
  </si>
  <si>
    <t>ТСН-2001.2. Доп.55. п.1-5-6 (050203)</t>
  </si>
  <si>
    <t>КАТКИ ДОРОЖНЫЕ САМОХОДНЫЕ СТАТИЧЕСКИЕ, МАССА ДО 13 Т</t>
  </si>
  <si>
    <t>ТСН-2001.2. Доп.55. п.1-5-7 (050301)</t>
  </si>
  <si>
    <t>1.3-3-19</t>
  </si>
  <si>
    <t>ТСН-2001.1. База. Р.3, о.3, поз.19</t>
  </si>
  <si>
    <t>ЭМУЛЬСИИ ДОРОЖНЫЕ, БИТУМНЫЕ</t>
  </si>
  <si>
    <t>2.1-18-7</t>
  </si>
  <si>
    <t>ТСН-2001.2. База. п.1-18-7 (183001)</t>
  </si>
  <si>
    <t>АВТОМОБИЛИ ГРУЗОВЫЕ БОРТОВЫЕ, ГРУЗОПОДЪЕМНОСТЬ ДО 5 Т</t>
  </si>
  <si>
    <t>2.1-3-35</t>
  </si>
  <si>
    <t>ТСН-2001.2. База. п.1-3-35 (032006)</t>
  </si>
  <si>
    <t>КРАНЫ НА АВТОМОБИЛЬНОМ ХОДУ, ГРУЗОПОДЪЕМНОСТЬ ДО 10 Т</t>
  </si>
  <si>
    <t>2.1-4-12</t>
  </si>
  <si>
    <t>ТСН-2001.2. База. п.1-4-12 (040205)</t>
  </si>
  <si>
    <t>ПОГРУЗЧИКИ НА АВТОМОБИЛЬНОМ ХОДУ, ГРУЗОПОДЪЕМНОСТЬ ДО 5 Т</t>
  </si>
  <si>
    <t>1.1-1-132</t>
  </si>
  <si>
    <t>ТСН-2001.1. База. Р.1, о.1, поз.132</t>
  </si>
  <si>
    <t>ГВОЗДИ СТРОИТЕЛЬНЫЕ</t>
  </si>
  <si>
    <t>1.1-1-230</t>
  </si>
  <si>
    <t>ТСН-2001.1. База. Р.1, о.1, поз.230</t>
  </si>
  <si>
    <t>ДОСКИ ХВОЙНЫХ ПОРОД, ОБРЕЗНЫЕ, ДЛИНА 2-6,5 М, СОРТ IV, ТОЛЩИНА 19-22 ММ</t>
  </si>
  <si>
    <t>1.3-1-38</t>
  </si>
  <si>
    <t>ТСН-2001.1. База. Р.3, о.1, поз.38</t>
  </si>
  <si>
    <t>СМЕСИ БЕТОННЫЕ, БСГ, ТЯЖЕЛОГО БЕТОНА НА ГРАНИТНОМ ЩЕБНЕ, КЛАСС ПРОЧНОСТИ: В15 (М200); П3, ФРАКЦИЯ 5-20, F50-100, W0-2</t>
  </si>
  <si>
    <t>1.3-2-5</t>
  </si>
  <si>
    <t>ТСН-2001.1. Доп.14. Р.3, о.2, поз.5</t>
  </si>
  <si>
    <t>РАСТВОРЫ ЦЕМЕНТНЫЕ, МАРКА 100</t>
  </si>
  <si>
    <t>5711400000</t>
  </si>
  <si>
    <t>ПЕСОК ПРИРОДНЫЙ ДЛЯ СТРОИТЕЛЬНЫХ РАБОТ</t>
  </si>
  <si>
    <t>5711100000</t>
  </si>
  <si>
    <t>ЩЕБЕНЬ ДЛЯ ДОРОЖНЫХ РАБОТ</t>
  </si>
  <si>
    <t>5718400000</t>
  </si>
  <si>
    <t>СМЕСИ АСФАЛЬТОБЕТОННЫЕ</t>
  </si>
  <si>
    <t>5898320000</t>
  </si>
  <si>
    <t>КАМНИ БЕТОННЫЕ БОРТОВЫЕ САДОВЫЕ И ГАЗОННЫЕ</t>
  </si>
  <si>
    <t>9797020000</t>
  </si>
  <si>
    <t>9749950000</t>
  </si>
  <si>
    <t>СЕМЕНА ГАЗОННЫХ ТРАВ</t>
  </si>
  <si>
    <t>Поправка: ТСН-2001.6-68. О.П. п.1. 3  Наименование: Выполнение ремонта дорожных оснований и покрытий, замене дефектных блоков и восстановлению защитного покрытия бетонных и железобетонных конструкций разделительной полосы без прекращения движения транспорта</t>
  </si>
  <si>
    <t>"СОГЛАСОВАНО"</t>
  </si>
  <si>
    <t>"УТВЕРЖДАЮ"</t>
  </si>
  <si>
    <t>Форма № 1б</t>
  </si>
  <si>
    <t>"_____"________________ 2020 г.</t>
  </si>
  <si>
    <t>Директор,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</si>
  <si>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</si>
  <si>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</si>
  <si>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</si>
  <si>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</si>
  <si>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</si>
  <si>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</si>
  <si>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</si>
  <si>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</si>
  <si>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</si>
  <si>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</si>
  <si>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</si>
  <si>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</si>
  <si>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</si>
  <si>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</si>
  <si>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</si>
  <si>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</si>
  <si>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</si>
  <si>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</si>
  <si>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</si>
  <si>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</si>
  <si>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</si>
  <si>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Составлен(а) в уровне текущих (прогнозных) цен ТСН-2001 МЦЦС  ремонт №168 сентябрь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</si>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</sst>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1" fillId="0" borderId="0" xfId="0" quotePrefix="1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164" fontId="17" fillId="0" borderId="0" xfId="0" applyNumberFormat="1" applyFont="1"/>
    <xf numFmtId="0" fontId="18" fillId="0" borderId="0" xfId="0" applyFo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4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4" xfId="0" applyFont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3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1"/>
  <sheetViews>
    <sheetView tabSelected="1" topLeftCell="A126" zoomScaleNormal="100" workbookViewId="0">
      <selection activeCell="AR133" sqref="AR133"/>
    </sheetView>
  </sheetViews>
  <sheetFormatPr defaultRowHeight="13.2" x14ac:dyDescent="0.25"/>
  <cols>
    <col min="1" max="1" width="5.6640625" customWidth="1"/>
    <col min="2" max="2" width="11.6640625" customWidth="1"/>
    <col min="3" max="3" width="40.6640625" customWidth="1"/>
    <col min="4" max="6" width="11.6640625" customWidth="1"/>
    <col min="7" max="7" width="12.6640625" customWidth="1"/>
    <col min="8" max="8" width="10.6640625" customWidth="1"/>
    <col min="9" max="11" width="12.6640625" customWidth="1"/>
    <col min="15" max="37" width="0" hidden="1" customWidth="1"/>
    <col min="38" max="38" width="104.6640625" hidden="1" customWidth="1"/>
    <col min="39" max="42" width="0" hidden="1" customWidth="1"/>
  </cols>
  <sheetData>
    <row r="1" spans="1:11" x14ac:dyDescent="0.25">
      <c r="A1" s="9" t="str">
        <f>Source!B1</f>
        <v>Smeta.RU  (495) 974-1589</v>
      </c>
    </row>
    <row r="2" spans="1:11" ht="13.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275</v>
      </c>
    </row>
    <row r="3" spans="1:11" ht="16.8" x14ac:dyDescent="0.3">
      <c r="A3" s="12"/>
      <c r="B3" s="51" t="s">
        <v>273</v>
      </c>
      <c r="C3" s="51"/>
      <c r="D3" s="51"/>
      <c r="E3" s="51"/>
      <c r="F3" s="11"/>
      <c r="G3" s="51" t="s">
        <v>274</v>
      </c>
      <c r="H3" s="51"/>
      <c r="I3" s="51"/>
      <c r="J3" s="51"/>
      <c r="K3" s="51"/>
    </row>
    <row r="4" spans="1:11" ht="13.8" x14ac:dyDescent="0.25">
      <c r="A4" s="11"/>
      <c r="B4" s="52"/>
      <c r="C4" s="52"/>
      <c r="D4" s="52"/>
      <c r="E4" s="52"/>
      <c r="F4" s="11"/>
      <c r="G4" s="52" t="s">
        <v>277</v>
      </c>
      <c r="H4" s="52"/>
      <c r="I4" s="52"/>
      <c r="J4" s="52"/>
      <c r="K4" s="52"/>
    </row>
    <row r="5" spans="1:11" ht="13.8" x14ac:dyDescent="0.25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3.8" x14ac:dyDescent="0.25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11" ht="21.75" customHeight="1" x14ac:dyDescent="0.25">
      <c r="A7" s="16"/>
      <c r="B7" s="53" t="s">
        <v>276</v>
      </c>
      <c r="C7" s="53"/>
      <c r="D7" s="53"/>
      <c r="E7" s="53"/>
      <c r="F7" s="11"/>
      <c r="G7" s="53" t="s">
        <v>276</v>
      </c>
      <c r="H7" s="53"/>
      <c r="I7" s="53"/>
      <c r="J7" s="53"/>
      <c r="K7" s="53"/>
    </row>
    <row r="9" spans="1:11" ht="13.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3.8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6" x14ac:dyDescent="0.3">
      <c r="A11" s="54" t="str">
        <f>CONCATENATE( "ЛОКАЛЬНАЯ СМЕТА.  ",IF(Source!F12&lt;&gt;"Новый объект", Source!F12, ""))</f>
        <v>ЛОКАЛЬНАЯ СМЕТА.  КЛ-0,4 от ул.Центральная, д.6 до ул.Центральная, д.8.  Благоустройство.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56" t="s">
        <v>278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3.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399999999999999" hidden="1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3.8" hidden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7.399999999999999" x14ac:dyDescent="0.3">
      <c r="A16" s="58" t="str">
        <f>IF(Source!G12&lt;&gt;"Новый объект", Source!G12, "")</f>
        <v>КЛ-0,4 от ул.Центральная, д.6 до ул.Центральная, д.8.  Благоустройство.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5">
      <c r="A17" s="56" t="s">
        <v>279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3.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8" x14ac:dyDescent="0.25">
      <c r="A19" s="60" t="str">
        <f>CONCATENATE( "Основание: чертежи № ", Source!J12)</f>
        <v xml:space="preserve">Основание: чертежи № 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7.6" x14ac:dyDescent="0.25">
      <c r="A20" s="11"/>
      <c r="B20" s="11"/>
      <c r="C20" s="11"/>
      <c r="D20" s="11"/>
      <c r="E20" s="11"/>
      <c r="F20" s="11"/>
      <c r="G20" s="11"/>
      <c r="H20" s="11"/>
      <c r="I20" s="17" t="s">
        <v>280</v>
      </c>
      <c r="J20" s="17" t="s">
        <v>281</v>
      </c>
      <c r="K20" s="11"/>
    </row>
    <row r="21" spans="1:11" ht="13.8" x14ac:dyDescent="0.25">
      <c r="A21" s="11"/>
      <c r="B21" s="11"/>
      <c r="C21" s="11"/>
      <c r="D21" s="11"/>
      <c r="E21" s="11"/>
      <c r="F21" s="52" t="s">
        <v>282</v>
      </c>
      <c r="G21" s="52"/>
      <c r="H21" s="52"/>
      <c r="I21" s="18">
        <f>SUM(O1:O141)/1000</f>
        <v>8.4085099999999997</v>
      </c>
      <c r="J21" s="49">
        <f>(Source!F100/1000)</f>
        <v>125.04708000000001</v>
      </c>
      <c r="K21" s="33" t="s">
        <v>312</v>
      </c>
    </row>
    <row r="22" spans="1:11" ht="13.8" x14ac:dyDescent="0.25">
      <c r="A22" s="11"/>
      <c r="B22" s="11"/>
      <c r="C22" s="11"/>
      <c r="D22" s="11"/>
      <c r="E22" s="11"/>
      <c r="F22" s="52" t="s">
        <v>38</v>
      </c>
      <c r="G22" s="52"/>
      <c r="H22" s="52"/>
      <c r="I22" s="18">
        <f>SUM(X1:X141)/1000</f>
        <v>8.4085099999999997</v>
      </c>
      <c r="J22" s="18">
        <f>(Source!F87)/1000</f>
        <v>104.2059</v>
      </c>
      <c r="K22" s="11" t="s">
        <v>312</v>
      </c>
    </row>
    <row r="23" spans="1:11" ht="13.8" x14ac:dyDescent="0.25">
      <c r="A23" s="11"/>
      <c r="B23" s="11"/>
      <c r="C23" s="11"/>
      <c r="D23" s="11"/>
      <c r="E23" s="11"/>
      <c r="F23" s="52" t="s">
        <v>283</v>
      </c>
      <c r="G23" s="52"/>
      <c r="H23" s="52"/>
      <c r="I23" s="18">
        <f>SUM(Y1:Y141)/1000</f>
        <v>0</v>
      </c>
      <c r="J23" s="18">
        <f>(Source!F88)/1000</f>
        <v>0</v>
      </c>
      <c r="K23" s="11" t="s">
        <v>312</v>
      </c>
    </row>
    <row r="24" spans="1:11" ht="13.8" x14ac:dyDescent="0.25">
      <c r="A24" s="11"/>
      <c r="B24" s="11"/>
      <c r="C24" s="11"/>
      <c r="D24" s="11"/>
      <c r="E24" s="11"/>
      <c r="F24" s="52" t="s">
        <v>284</v>
      </c>
      <c r="G24" s="52"/>
      <c r="H24" s="52"/>
      <c r="I24" s="18">
        <f>SUM(Z1:Z141)/1000</f>
        <v>0</v>
      </c>
      <c r="J24" s="18">
        <f>(Source!F79)/1000</f>
        <v>0</v>
      </c>
      <c r="K24" s="11" t="s">
        <v>312</v>
      </c>
    </row>
    <row r="25" spans="1:11" ht="13.8" x14ac:dyDescent="0.25">
      <c r="A25" s="11"/>
      <c r="B25" s="11"/>
      <c r="C25" s="11"/>
      <c r="D25" s="11"/>
      <c r="E25" s="11"/>
      <c r="F25" s="52" t="s">
        <v>285</v>
      </c>
      <c r="G25" s="52"/>
      <c r="H25" s="52"/>
      <c r="I25" s="18">
        <f>SUM(AA1:AA141)/1000</f>
        <v>0</v>
      </c>
      <c r="J25" s="18">
        <f>(Source!F89+Source!F90)/1000</f>
        <v>0</v>
      </c>
      <c r="K25" s="11" t="s">
        <v>312</v>
      </c>
    </row>
    <row r="26" spans="1:11" ht="13.8" x14ac:dyDescent="0.25">
      <c r="A26" s="11"/>
      <c r="B26" s="11"/>
      <c r="C26" s="11"/>
      <c r="D26" s="11"/>
      <c r="E26" s="11"/>
      <c r="F26" s="52" t="s">
        <v>286</v>
      </c>
      <c r="G26" s="52"/>
      <c r="H26" s="52"/>
      <c r="I26" s="18">
        <f>SUM(W1:W141)/1000</f>
        <v>1.8511</v>
      </c>
      <c r="J26" s="18">
        <f>(Source!F85+ Source!F84)/1000</f>
        <v>41.17539</v>
      </c>
      <c r="K26" s="11" t="s">
        <v>312</v>
      </c>
    </row>
    <row r="27" spans="1:11" ht="13.8" hidden="1" x14ac:dyDescent="0.25">
      <c r="A27" s="11"/>
      <c r="B27" s="11"/>
      <c r="C27" s="11"/>
      <c r="D27" s="11"/>
      <c r="E27" s="11"/>
      <c r="F27" s="19" t="s">
        <v>287</v>
      </c>
      <c r="G27" s="19"/>
      <c r="H27" s="19"/>
      <c r="I27" s="18"/>
      <c r="J27" s="18"/>
      <c r="K27" s="11"/>
    </row>
    <row r="28" spans="1:11" ht="13.8" hidden="1" x14ac:dyDescent="0.25">
      <c r="A28" s="11"/>
      <c r="B28" s="11"/>
      <c r="C28" s="11"/>
      <c r="D28" s="11"/>
      <c r="E28" s="11"/>
      <c r="F28" s="62" t="s">
        <v>155</v>
      </c>
      <c r="G28" s="63"/>
      <c r="H28" s="63"/>
      <c r="I28" s="18">
        <f>SUM(AE1:AE141)/1000</f>
        <v>0</v>
      </c>
      <c r="J28" s="18">
        <f>SUM(AF1:AF141)/1000</f>
        <v>0</v>
      </c>
      <c r="K28" s="11" t="s">
        <v>312</v>
      </c>
    </row>
    <row r="29" spans="1:11" ht="13.8" x14ac:dyDescent="0.25">
      <c r="A29" s="64" t="s">
        <v>299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55.2" x14ac:dyDescent="0.25">
      <c r="A30" s="20" t="s">
        <v>288</v>
      </c>
      <c r="B30" s="20" t="s">
        <v>289</v>
      </c>
      <c r="C30" s="20" t="s">
        <v>290</v>
      </c>
      <c r="D30" s="20" t="s">
        <v>291</v>
      </c>
      <c r="E30" s="20" t="s">
        <v>292</v>
      </c>
      <c r="F30" s="20" t="s">
        <v>293</v>
      </c>
      <c r="G30" s="21" t="s">
        <v>294</v>
      </c>
      <c r="H30" s="21" t="s">
        <v>295</v>
      </c>
      <c r="I30" s="20" t="s">
        <v>296</v>
      </c>
      <c r="J30" s="20" t="s">
        <v>297</v>
      </c>
      <c r="K30" s="20" t="s">
        <v>298</v>
      </c>
    </row>
    <row r="31" spans="1:11" ht="13.8" x14ac:dyDescent="0.25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  <c r="K31" s="20">
        <v>11</v>
      </c>
    </row>
    <row r="33" spans="1:27" ht="16.8" x14ac:dyDescent="0.3">
      <c r="A33" s="65" t="str">
        <f>CONCATENATE("Локальная смета: ",IF(Source!G20&lt;&gt;"Новая локальная смета", Source!G20, ""))</f>
        <v>Локальная смета: Благоустройство.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27" ht="27.6" x14ac:dyDescent="0.3">
      <c r="A34" s="22" t="str">
        <f>Source!E24</f>
        <v>1</v>
      </c>
      <c r="B34" s="23" t="str">
        <f>Source!F24</f>
        <v>6.68-51-4</v>
      </c>
      <c r="C34" s="23" t="s">
        <v>23</v>
      </c>
      <c r="D34" s="24" t="str">
        <f>Source!H24</f>
        <v>100 м3</v>
      </c>
      <c r="E34" s="10">
        <f>Source!I24</f>
        <v>1.1999999999999999E-3</v>
      </c>
      <c r="F34" s="26"/>
      <c r="G34" s="25"/>
      <c r="H34" s="10"/>
      <c r="I34" s="27"/>
      <c r="J34" s="10"/>
      <c r="K34" s="27"/>
      <c r="Q34">
        <f>ROUND((Source!DN24/100)*ROUND((ROUND((Source!AF24*Source!AV24*Source!I24),2)),2), 2)</f>
        <v>2.12</v>
      </c>
      <c r="R34">
        <f>Source!X24</f>
        <v>44.2</v>
      </c>
      <c r="S34">
        <f>ROUND((Source!DO24/100)*ROUND((ROUND((Source!AF24*Source!AV24*Source!I24),2)),2), 2)</f>
        <v>1.46</v>
      </c>
      <c r="T34">
        <f>Source!Y24</f>
        <v>26.65</v>
      </c>
      <c r="U34">
        <f>ROUND((175/100)*ROUND((ROUND((Source!AE24*Source!AV24*Source!I24),2)),2), 2)</f>
        <v>2.0099999999999998</v>
      </c>
      <c r="V34">
        <f>ROUND((157/100)*ROUND(ROUND((ROUND((Source!AE24*Source!AV24*Source!I24),2)*Source!BS24),2), 2), 2)</f>
        <v>44.29</v>
      </c>
    </row>
    <row r="35" spans="1:27" x14ac:dyDescent="0.25">
      <c r="C35" s="28" t="str">
        <f>"Объем: "&amp;Source!I24&amp;"=(2*"&amp;"0,6*"&amp;"0,05*"&amp;"2)/"&amp;"100"</f>
        <v>Объем: 0,0012=(2*0,6*0,05*2)/100</v>
      </c>
    </row>
    <row r="36" spans="1:27" ht="14.4" x14ac:dyDescent="0.3">
      <c r="A36" s="22"/>
      <c r="B36" s="23"/>
      <c r="C36" s="23" t="s">
        <v>300</v>
      </c>
      <c r="D36" s="24"/>
      <c r="E36" s="10"/>
      <c r="F36" s="26">
        <f>Source!AO24</f>
        <v>1687.95</v>
      </c>
      <c r="G36" s="25" t="str">
        <f>Source!DG24</f>
        <v>)*1,25</v>
      </c>
      <c r="H36" s="10">
        <f>Source!AV24</f>
        <v>1.0469999999999999</v>
      </c>
      <c r="I36" s="27">
        <f>ROUND((ROUND((Source!AF24*Source!AV24*Source!I24),2)),2)</f>
        <v>2.65</v>
      </c>
      <c r="J36" s="10">
        <f>IF(Source!BA24&lt;&gt; 0, Source!BA24, 1)</f>
        <v>24.53</v>
      </c>
      <c r="K36" s="27">
        <f>Source!S24</f>
        <v>65</v>
      </c>
      <c r="W36">
        <f>I36</f>
        <v>2.65</v>
      </c>
    </row>
    <row r="37" spans="1:27" ht="14.4" x14ac:dyDescent="0.3">
      <c r="A37" s="22"/>
      <c r="B37" s="23"/>
      <c r="C37" s="23" t="s">
        <v>301</v>
      </c>
      <c r="D37" s="24"/>
      <c r="E37" s="10"/>
      <c r="F37" s="26">
        <f>Source!AM24</f>
        <v>2713.55</v>
      </c>
      <c r="G37" s="25" t="str">
        <f>Source!DE24</f>
        <v>)*1,25</v>
      </c>
      <c r="H37" s="10">
        <f>Source!AV24</f>
        <v>1.0469999999999999</v>
      </c>
      <c r="I37" s="27">
        <f>(ROUND((ROUND((((Source!ET24*1.25))*Source!AV24*Source!I24),2)),2)+ROUND((ROUND(((Source!AE24-((Source!EU24*1.25)))*Source!AV24*Source!I24),2)),2))</f>
        <v>4.26</v>
      </c>
      <c r="J37" s="10">
        <f>IF(Source!BB24&lt;&gt; 0, Source!BB24, 1)</f>
        <v>11.14</v>
      </c>
      <c r="K37" s="27">
        <f>Source!Q24</f>
        <v>47.46</v>
      </c>
    </row>
    <row r="38" spans="1:27" ht="14.4" x14ac:dyDescent="0.3">
      <c r="A38" s="22"/>
      <c r="B38" s="23"/>
      <c r="C38" s="23" t="s">
        <v>302</v>
      </c>
      <c r="D38" s="24"/>
      <c r="E38" s="10"/>
      <c r="F38" s="26">
        <f>Source!AN24</f>
        <v>735.23</v>
      </c>
      <c r="G38" s="25" t="str">
        <f>Source!DF24</f>
        <v>)*1,25</v>
      </c>
      <c r="H38" s="10">
        <f>Source!AV24</f>
        <v>1.0469999999999999</v>
      </c>
      <c r="I38" s="29">
        <f>ROUND((ROUND((Source!AE24*Source!AV24*Source!I24),2)),2)</f>
        <v>1.1499999999999999</v>
      </c>
      <c r="J38" s="10">
        <f>IF(Source!BS24&lt;&gt; 0, Source!BS24, 1)</f>
        <v>24.53</v>
      </c>
      <c r="K38" s="29">
        <f>Source!R24</f>
        <v>28.21</v>
      </c>
      <c r="W38">
        <f>I38</f>
        <v>1.1499999999999999</v>
      </c>
    </row>
    <row r="39" spans="1:27" ht="14.4" x14ac:dyDescent="0.3">
      <c r="A39" s="22"/>
      <c r="B39" s="23"/>
      <c r="C39" s="23" t="s">
        <v>303</v>
      </c>
      <c r="D39" s="24" t="s">
        <v>304</v>
      </c>
      <c r="E39" s="10">
        <f>Source!DN24</f>
        <v>80</v>
      </c>
      <c r="F39" s="26"/>
      <c r="G39" s="25"/>
      <c r="H39" s="10"/>
      <c r="I39" s="27">
        <f>SUM(Q34:Q38)</f>
        <v>2.12</v>
      </c>
      <c r="J39" s="10">
        <f>Source!BZ24</f>
        <v>68</v>
      </c>
      <c r="K39" s="27">
        <f>SUM(R34:R38)</f>
        <v>44.2</v>
      </c>
    </row>
    <row r="40" spans="1:27" ht="14.4" x14ac:dyDescent="0.3">
      <c r="A40" s="22"/>
      <c r="B40" s="23"/>
      <c r="C40" s="23" t="s">
        <v>305</v>
      </c>
      <c r="D40" s="24" t="s">
        <v>304</v>
      </c>
      <c r="E40" s="10">
        <f>Source!DO24</f>
        <v>55</v>
      </c>
      <c r="F40" s="26"/>
      <c r="G40" s="25"/>
      <c r="H40" s="10"/>
      <c r="I40" s="27">
        <f>SUM(S34:S39)</f>
        <v>1.46</v>
      </c>
      <c r="J40" s="10">
        <f>Source!CA24</f>
        <v>41</v>
      </c>
      <c r="K40" s="27">
        <f>SUM(T34:T39)</f>
        <v>26.65</v>
      </c>
    </row>
    <row r="41" spans="1:27" ht="14.4" x14ac:dyDescent="0.3">
      <c r="A41" s="22"/>
      <c r="B41" s="23"/>
      <c r="C41" s="23" t="s">
        <v>306</v>
      </c>
      <c r="D41" s="24" t="s">
        <v>304</v>
      </c>
      <c r="E41" s="10">
        <f>175</f>
        <v>175</v>
      </c>
      <c r="F41" s="26"/>
      <c r="G41" s="25"/>
      <c r="H41" s="10"/>
      <c r="I41" s="27">
        <f>SUM(U34:U40)</f>
        <v>2.0099999999999998</v>
      </c>
      <c r="J41" s="10">
        <f>157</f>
        <v>157</v>
      </c>
      <c r="K41" s="27">
        <f>SUM(V34:V40)</f>
        <v>44.29</v>
      </c>
    </row>
    <row r="42" spans="1:27" ht="14.4" x14ac:dyDescent="0.3">
      <c r="A42" s="22"/>
      <c r="B42" s="23"/>
      <c r="C42" s="23" t="s">
        <v>307</v>
      </c>
      <c r="D42" s="24" t="s">
        <v>308</v>
      </c>
      <c r="E42" s="10">
        <f>Source!AQ24</f>
        <v>155</v>
      </c>
      <c r="F42" s="26"/>
      <c r="G42" s="25" t="str">
        <f>Source!DI24</f>
        <v>)*1,25</v>
      </c>
      <c r="H42" s="10">
        <f>Source!AV24</f>
        <v>1.0469999999999999</v>
      </c>
      <c r="I42" s="27">
        <f>Source!U24</f>
        <v>0.24342749999999996</v>
      </c>
      <c r="J42" s="10"/>
      <c r="K42" s="27"/>
    </row>
    <row r="43" spans="1:27" ht="13.8" x14ac:dyDescent="0.25">
      <c r="A43" s="31"/>
      <c r="B43" s="31"/>
      <c r="C43" s="31"/>
      <c r="D43" s="31"/>
      <c r="E43" s="31"/>
      <c r="F43" s="31"/>
      <c r="G43" s="31"/>
      <c r="H43" s="61">
        <f>I36+I37+I39+I40+I41</f>
        <v>12.500000000000002</v>
      </c>
      <c r="I43" s="61"/>
      <c r="J43" s="61">
        <f>K36+K37+K39+K40+K41</f>
        <v>227.60000000000002</v>
      </c>
      <c r="K43" s="61"/>
      <c r="O43" s="30">
        <f>I36+I37+I39+I40+I41</f>
        <v>12.500000000000002</v>
      </c>
      <c r="P43" s="30">
        <f>K36+K37+K39+K40+K41</f>
        <v>227.60000000000002</v>
      </c>
      <c r="X43">
        <f>IF(Source!BI24&lt;=1,I36+I37+I39+I40+I41-0, 0)</f>
        <v>12.500000000000002</v>
      </c>
      <c r="Y43">
        <f>IF(Source!BI24=2,I36+I37+I39+I40+I41-0, 0)</f>
        <v>0</v>
      </c>
      <c r="Z43">
        <f>IF(Source!BI24=3,I36+I37+I39+I40+I41-0, 0)</f>
        <v>0</v>
      </c>
      <c r="AA43">
        <f>IF(Source!BI24=4,I36+I37+I39+I40+I41,0)</f>
        <v>0</v>
      </c>
    </row>
    <row r="44" spans="1:27" ht="41.4" x14ac:dyDescent="0.3">
      <c r="A44" s="22" t="str">
        <f>Source!E25</f>
        <v>2</v>
      </c>
      <c r="B44" s="23" t="str">
        <f>Source!F25</f>
        <v>3.27-12-1</v>
      </c>
      <c r="C44" s="23" t="s">
        <v>34</v>
      </c>
      <c r="D44" s="24" t="str">
        <f>Source!H25</f>
        <v>100 м3</v>
      </c>
      <c r="E44" s="10">
        <f>Source!I25</f>
        <v>7.1999999999999998E-3</v>
      </c>
      <c r="F44" s="26"/>
      <c r="G44" s="25"/>
      <c r="H44" s="10"/>
      <c r="I44" s="27"/>
      <c r="J44" s="10"/>
      <c r="K44" s="27"/>
      <c r="Q44">
        <f>ROUND((Source!DN25/100)*ROUND((ROUND((Source!AF25*Source!AV25*Source!I25),2)),2), 2)</f>
        <v>2.11</v>
      </c>
      <c r="R44">
        <f>Source!X25</f>
        <v>37.22</v>
      </c>
      <c r="S44">
        <f>ROUND((Source!DO25/100)*ROUND((ROUND((Source!AF25*Source!AV25*Source!I25),2)),2), 2)</f>
        <v>1.4</v>
      </c>
      <c r="T44">
        <f>Source!Y25</f>
        <v>15.34</v>
      </c>
      <c r="U44">
        <f>ROUND((175/100)*ROUND((ROUND((Source!AE25*Source!AV25*Source!I25),2)),2), 2)</f>
        <v>1.8</v>
      </c>
      <c r="V44">
        <f>ROUND((157/100)*ROUND(ROUND((ROUND((Source!AE25*Source!AV25*Source!I25),2)*Source!BS25),2), 2), 2)</f>
        <v>35.07</v>
      </c>
    </row>
    <row r="45" spans="1:27" x14ac:dyDescent="0.25">
      <c r="C45" s="28" t="str">
        <f>"Объем: "&amp;Source!I25&amp;"="&amp;Source!I24&amp;"/"&amp;"0,05*"&amp;"0,3"</f>
        <v>Объем: 0,0072=0,0012/0,05*0,3</v>
      </c>
    </row>
    <row r="46" spans="1:27" ht="14.4" x14ac:dyDescent="0.3">
      <c r="A46" s="22"/>
      <c r="B46" s="23"/>
      <c r="C46" s="23" t="s">
        <v>300</v>
      </c>
      <c r="D46" s="24"/>
      <c r="E46" s="10"/>
      <c r="F46" s="26">
        <f>Source!AO25</f>
        <v>151.49</v>
      </c>
      <c r="G46" s="25" t="str">
        <f>Source!DG25</f>
        <v>)*1,15</v>
      </c>
      <c r="H46" s="10">
        <f>Source!AV25</f>
        <v>1.0469999999999999</v>
      </c>
      <c r="I46" s="27">
        <f>ROUND((ROUND((Source!AF25*Source!AV25*Source!I25),2)),2)</f>
        <v>1.31</v>
      </c>
      <c r="J46" s="10">
        <f>IF(Source!BA25&lt;&gt; 0, Source!BA25, 1)</f>
        <v>21.69</v>
      </c>
      <c r="K46" s="27">
        <f>Source!S25</f>
        <v>28.41</v>
      </c>
      <c r="W46">
        <f>I46</f>
        <v>1.31</v>
      </c>
    </row>
    <row r="47" spans="1:27" ht="14.4" x14ac:dyDescent="0.3">
      <c r="A47" s="22"/>
      <c r="B47" s="23"/>
      <c r="C47" s="23" t="s">
        <v>301</v>
      </c>
      <c r="D47" s="24"/>
      <c r="E47" s="10"/>
      <c r="F47" s="26">
        <f>Source!AM25</f>
        <v>676.47</v>
      </c>
      <c r="G47" s="25" t="str">
        <f>Source!DE25</f>
        <v>)*1,15</v>
      </c>
      <c r="H47" s="10">
        <f>Source!AV25</f>
        <v>1.0469999999999999</v>
      </c>
      <c r="I47" s="27">
        <f>(ROUND((ROUND((((Source!ET25*1.15))*Source!AV25*Source!I25),2)),2)+ROUND((ROUND(((Source!AE25-((Source!EU25*1.15)))*Source!AV25*Source!I25),2)),2))</f>
        <v>5.86</v>
      </c>
      <c r="J47" s="10">
        <f>IF(Source!BB25&lt;&gt; 0, Source!BB25, 1)</f>
        <v>9.9600000000000009</v>
      </c>
      <c r="K47" s="27">
        <f>Source!Q25</f>
        <v>58.37</v>
      </c>
    </row>
    <row r="48" spans="1:27" ht="14.4" x14ac:dyDescent="0.3">
      <c r="A48" s="22"/>
      <c r="B48" s="23"/>
      <c r="C48" s="23" t="s">
        <v>302</v>
      </c>
      <c r="D48" s="24"/>
      <c r="E48" s="10"/>
      <c r="F48" s="26">
        <f>Source!AN25</f>
        <v>119.05</v>
      </c>
      <c r="G48" s="25" t="str">
        <f>Source!DF25</f>
        <v>)*1,15</v>
      </c>
      <c r="H48" s="10">
        <f>Source!AV25</f>
        <v>1.0469999999999999</v>
      </c>
      <c r="I48" s="29">
        <f>ROUND((ROUND((Source!AE25*Source!AV25*Source!I25),2)),2)</f>
        <v>1.03</v>
      </c>
      <c r="J48" s="10">
        <f>IF(Source!BS25&lt;&gt; 0, Source!BS25, 1)</f>
        <v>21.69</v>
      </c>
      <c r="K48" s="29">
        <f>Source!R25</f>
        <v>22.34</v>
      </c>
      <c r="W48">
        <f>I48</f>
        <v>1.03</v>
      </c>
    </row>
    <row r="49" spans="1:27" ht="14.4" x14ac:dyDescent="0.3">
      <c r="A49" s="22"/>
      <c r="B49" s="23"/>
      <c r="C49" s="23" t="s">
        <v>309</v>
      </c>
      <c r="D49" s="24"/>
      <c r="E49" s="10"/>
      <c r="F49" s="26">
        <f>Source!AL25</f>
        <v>35.35</v>
      </c>
      <c r="G49" s="25" t="str">
        <f>Source!DD25</f>
        <v/>
      </c>
      <c r="H49" s="10">
        <f>Source!AW25</f>
        <v>1.002</v>
      </c>
      <c r="I49" s="27">
        <f>ROUND((ROUND((Source!AC25*Source!AW25*Source!I25),2)),2)</f>
        <v>0.26</v>
      </c>
      <c r="J49" s="10">
        <f>IF(Source!BC25&lt;&gt; 0, Source!BC25, 1)</f>
        <v>4.5599999999999996</v>
      </c>
      <c r="K49" s="27">
        <f>Source!P25</f>
        <v>1.19</v>
      </c>
    </row>
    <row r="50" spans="1:27" ht="27.6" x14ac:dyDescent="0.3">
      <c r="A50" s="22" t="str">
        <f>Source!E26</f>
        <v>2,1</v>
      </c>
      <c r="B50" s="23" t="str">
        <f>Source!F26</f>
        <v>1.1-1-766</v>
      </c>
      <c r="C50" s="23" t="s">
        <v>44</v>
      </c>
      <c r="D50" s="24" t="str">
        <f>Source!H26</f>
        <v>м3</v>
      </c>
      <c r="E50" s="10">
        <f>Source!I26</f>
        <v>0.72</v>
      </c>
      <c r="F50" s="26">
        <f>Source!AK26</f>
        <v>104.99</v>
      </c>
      <c r="G50" s="32" t="s">
        <v>3</v>
      </c>
      <c r="H50" s="10">
        <f>Source!AW26</f>
        <v>1.002</v>
      </c>
      <c r="I50" s="27">
        <f>ROUND((ROUND((Source!AC26*Source!AW26*Source!I26),2)),2)+(ROUND((ROUND(((Source!ET26)*Source!AV26*Source!I26),2)),2)+ROUND((ROUND(((Source!AE26-(Source!EU26))*Source!AV26*Source!I26),2)),2))+ROUND((ROUND((Source!AF26*Source!AV26*Source!I26),2)),2)</f>
        <v>75.739999999999995</v>
      </c>
      <c r="J50" s="10">
        <f>IF(Source!BC26&lt;&gt; 0, Source!BC26, 1)</f>
        <v>5.5</v>
      </c>
      <c r="K50" s="27">
        <f>Source!O26</f>
        <v>416.57</v>
      </c>
      <c r="Q50">
        <f>ROUND((Source!DN26/100)*ROUND((ROUND((Source!AF26*Source!AV26*Source!I26),2)),2), 2)</f>
        <v>0</v>
      </c>
      <c r="R50">
        <f>Source!X26</f>
        <v>0</v>
      </c>
      <c r="S50">
        <f>ROUND((Source!DO26/100)*ROUND((ROUND((Source!AF26*Source!AV26*Source!I26),2)),2), 2)</f>
        <v>0</v>
      </c>
      <c r="T50">
        <f>Source!Y26</f>
        <v>0</v>
      </c>
      <c r="U50">
        <f>ROUND((175/100)*ROUND((ROUND((Source!AE26*Source!AV26*Source!I26),2)),2), 2)</f>
        <v>0</v>
      </c>
      <c r="V50">
        <f>ROUND((157/100)*ROUND(ROUND((ROUND((Source!AE26*Source!AV26*Source!I26),2)*Source!BS26),2), 2), 2)</f>
        <v>0</v>
      </c>
      <c r="X50">
        <f>IF(Source!BI26&lt;=1,I50, 0)</f>
        <v>75.739999999999995</v>
      </c>
      <c r="Y50">
        <f>IF(Source!BI26=2,I50, 0)</f>
        <v>0</v>
      </c>
      <c r="Z50">
        <f>IF(Source!BI26=3,I50, 0)</f>
        <v>0</v>
      </c>
      <c r="AA50">
        <f>IF(Source!BI26=4,I50, 0)</f>
        <v>0</v>
      </c>
    </row>
    <row r="51" spans="1:27" ht="14.4" x14ac:dyDescent="0.3">
      <c r="A51" s="22"/>
      <c r="B51" s="23"/>
      <c r="C51" s="23" t="s">
        <v>303</v>
      </c>
      <c r="D51" s="24" t="s">
        <v>304</v>
      </c>
      <c r="E51" s="10">
        <f>Source!DN25</f>
        <v>161</v>
      </c>
      <c r="F51" s="26"/>
      <c r="G51" s="25"/>
      <c r="H51" s="10"/>
      <c r="I51" s="27">
        <f>SUM(Q44:Q50)</f>
        <v>2.11</v>
      </c>
      <c r="J51" s="10">
        <f>Source!BZ25</f>
        <v>131</v>
      </c>
      <c r="K51" s="27">
        <f>SUM(R44:R50)</f>
        <v>37.22</v>
      </c>
    </row>
    <row r="52" spans="1:27" ht="14.4" x14ac:dyDescent="0.3">
      <c r="A52" s="22"/>
      <c r="B52" s="23"/>
      <c r="C52" s="23" t="s">
        <v>305</v>
      </c>
      <c r="D52" s="24" t="s">
        <v>304</v>
      </c>
      <c r="E52" s="10">
        <f>Source!DO25</f>
        <v>107</v>
      </c>
      <c r="F52" s="26"/>
      <c r="G52" s="25"/>
      <c r="H52" s="10"/>
      <c r="I52" s="27">
        <f>SUM(S44:S51)</f>
        <v>1.4</v>
      </c>
      <c r="J52" s="10">
        <f>Source!CA25</f>
        <v>54</v>
      </c>
      <c r="K52" s="27">
        <f>SUM(T44:T51)</f>
        <v>15.34</v>
      </c>
    </row>
    <row r="53" spans="1:27" ht="14.4" x14ac:dyDescent="0.3">
      <c r="A53" s="22"/>
      <c r="B53" s="23"/>
      <c r="C53" s="23" t="s">
        <v>306</v>
      </c>
      <c r="D53" s="24" t="s">
        <v>304</v>
      </c>
      <c r="E53" s="10">
        <f>175</f>
        <v>175</v>
      </c>
      <c r="F53" s="26"/>
      <c r="G53" s="25"/>
      <c r="H53" s="10"/>
      <c r="I53" s="27">
        <f>SUM(U44:U52)</f>
        <v>1.8</v>
      </c>
      <c r="J53" s="10">
        <f>157</f>
        <v>157</v>
      </c>
      <c r="K53" s="27">
        <f>SUM(V44:V52)</f>
        <v>35.07</v>
      </c>
    </row>
    <row r="54" spans="1:27" ht="14.4" x14ac:dyDescent="0.3">
      <c r="A54" s="22"/>
      <c r="B54" s="23"/>
      <c r="C54" s="23" t="s">
        <v>307</v>
      </c>
      <c r="D54" s="24" t="s">
        <v>308</v>
      </c>
      <c r="E54" s="10">
        <f>Source!AQ25</f>
        <v>14.4</v>
      </c>
      <c r="F54" s="26"/>
      <c r="G54" s="25" t="str">
        <f>Source!DI25</f>
        <v>)*1,15</v>
      </c>
      <c r="H54" s="10">
        <f>Source!AV25</f>
        <v>1.0469999999999999</v>
      </c>
      <c r="I54" s="27">
        <f>Source!U25</f>
        <v>0.12483590399999997</v>
      </c>
      <c r="J54" s="10"/>
      <c r="K54" s="27"/>
    </row>
    <row r="55" spans="1:27" ht="13.8" x14ac:dyDescent="0.25">
      <c r="A55" s="31"/>
      <c r="B55" s="31"/>
      <c r="C55" s="31"/>
      <c r="D55" s="31"/>
      <c r="E55" s="31"/>
      <c r="F55" s="31"/>
      <c r="G55" s="31"/>
      <c r="H55" s="61">
        <f>I46+I47+I49+I51+I52+I53+SUM(I50:I50)</f>
        <v>88.47999999999999</v>
      </c>
      <c r="I55" s="61"/>
      <c r="J55" s="61">
        <f>K46+K47+K49+K51+K52+K53+SUM(K50:K50)</f>
        <v>592.16999999999996</v>
      </c>
      <c r="K55" s="61"/>
      <c r="O55" s="30">
        <f>I46+I47+I49+I51+I52+I53+SUM(I50:I50)</f>
        <v>88.47999999999999</v>
      </c>
      <c r="P55" s="30">
        <f>K46+K47+K49+K51+K52+K53+SUM(K50:K50)</f>
        <v>592.16999999999996</v>
      </c>
      <c r="X55">
        <f>IF(Source!BI25&lt;=1,I46+I47+I49+I51+I52+I53-0, 0)</f>
        <v>12.74</v>
      </c>
      <c r="Y55">
        <f>IF(Source!BI25=2,I46+I47+I49+I51+I52+I53-0, 0)</f>
        <v>0</v>
      </c>
      <c r="Z55">
        <f>IF(Source!BI25=3,I46+I47+I49+I51+I52+I53-0, 0)</f>
        <v>0</v>
      </c>
      <c r="AA55">
        <f>IF(Source!BI25=4,I46+I47+I49+I51+I52+I53,0)</f>
        <v>0</v>
      </c>
    </row>
    <row r="56" spans="1:27" ht="41.4" x14ac:dyDescent="0.3">
      <c r="A56" s="22" t="str">
        <f>Source!E27</f>
        <v>3</v>
      </c>
      <c r="B56" s="23" t="str">
        <f>Source!F27</f>
        <v>3.27-12-2</v>
      </c>
      <c r="C56" s="23" t="s">
        <v>49</v>
      </c>
      <c r="D56" s="24" t="str">
        <f>Source!H27</f>
        <v>100 м3</v>
      </c>
      <c r="E56" s="10">
        <f>Source!I27</f>
        <v>1E-3</v>
      </c>
      <c r="F56" s="26"/>
      <c r="G56" s="25"/>
      <c r="H56" s="10"/>
      <c r="I56" s="27"/>
      <c r="J56" s="10"/>
      <c r="K56" s="27"/>
      <c r="Q56">
        <f>ROUND((Source!DN27/100)*ROUND((ROUND((Source!AF27*Source!AV27*Source!I27),2)),2), 2)</f>
        <v>0.38</v>
      </c>
      <c r="R56">
        <f>Source!X27</f>
        <v>7.41</v>
      </c>
      <c r="S56">
        <f>ROUND((Source!DO27/100)*ROUND((ROUND((Source!AF27*Source!AV27*Source!I27),2)),2), 2)</f>
        <v>0.21</v>
      </c>
      <c r="T56">
        <f>Source!Y27</f>
        <v>2.71</v>
      </c>
      <c r="U56">
        <f>ROUND((175/100)*ROUND((ROUND((Source!AE27*Source!AV27*Source!I27),2)),2), 2)</f>
        <v>1.02</v>
      </c>
      <c r="V56">
        <f>ROUND((157/100)*ROUND(ROUND((ROUND((Source!AE27*Source!AV27*Source!I27),2)*Source!BS27),2), 2), 2)</f>
        <v>22.34</v>
      </c>
    </row>
    <row r="57" spans="1:27" x14ac:dyDescent="0.25">
      <c r="C57" s="28" t="str">
        <f>"Объем: "&amp;Source!I27&amp;"="&amp;Source!I24&amp;"/"&amp;"0,3*"&amp;"0,25"</f>
        <v>Объем: 0,001=0,0012/0,3*0,25</v>
      </c>
    </row>
    <row r="58" spans="1:27" ht="14.4" x14ac:dyDescent="0.3">
      <c r="A58" s="22"/>
      <c r="B58" s="23"/>
      <c r="C58" s="23" t="s">
        <v>300</v>
      </c>
      <c r="D58" s="24"/>
      <c r="E58" s="10"/>
      <c r="F58" s="26">
        <f>Source!AO27</f>
        <v>227.23</v>
      </c>
      <c r="G58" s="25" t="str">
        <f>Source!DG27</f>
        <v>)*1,15</v>
      </c>
      <c r="H58" s="10">
        <f>Source!AV27</f>
        <v>1.0469999999999999</v>
      </c>
      <c r="I58" s="27">
        <f>ROUND((ROUND((Source!AF27*Source!AV27*Source!I27),2)),2)</f>
        <v>0.27</v>
      </c>
      <c r="J58" s="10">
        <f>IF(Source!BA27&lt;&gt; 0, Source!BA27, 1)</f>
        <v>24.53</v>
      </c>
      <c r="K58" s="27">
        <f>Source!S27</f>
        <v>6.62</v>
      </c>
      <c r="W58">
        <f>I58</f>
        <v>0.27</v>
      </c>
    </row>
    <row r="59" spans="1:27" ht="14.4" x14ac:dyDescent="0.3">
      <c r="A59" s="22"/>
      <c r="B59" s="23"/>
      <c r="C59" s="23" t="s">
        <v>301</v>
      </c>
      <c r="D59" s="24"/>
      <c r="E59" s="10"/>
      <c r="F59" s="26">
        <f>Source!AM27</f>
        <v>5183.75</v>
      </c>
      <c r="G59" s="25" t="str">
        <f>Source!DE27</f>
        <v>)*1,15</v>
      </c>
      <c r="H59" s="10">
        <f>Source!AV27</f>
        <v>1.0469999999999999</v>
      </c>
      <c r="I59" s="27">
        <f>(ROUND((ROUND((((Source!ET27*1.15))*Source!AV27*Source!I27),2)),2)+ROUND((ROUND(((Source!AE27-((Source!EU27*1.15)))*Source!AV27*Source!I27),2)),2))</f>
        <v>6.24</v>
      </c>
      <c r="J59" s="10">
        <f>IF(Source!BB27&lt;&gt; 0, Source!BB27, 1)</f>
        <v>8.42</v>
      </c>
      <c r="K59" s="27">
        <f>Source!Q27</f>
        <v>52.54</v>
      </c>
    </row>
    <row r="60" spans="1:27" ht="14.4" x14ac:dyDescent="0.3">
      <c r="A60" s="22"/>
      <c r="B60" s="23"/>
      <c r="C60" s="23" t="s">
        <v>302</v>
      </c>
      <c r="D60" s="24"/>
      <c r="E60" s="10"/>
      <c r="F60" s="26">
        <f>Source!AN27</f>
        <v>481.08</v>
      </c>
      <c r="G60" s="25" t="str">
        <f>Source!DF27</f>
        <v>)*1,15</v>
      </c>
      <c r="H60" s="10">
        <f>Source!AV27</f>
        <v>1.0469999999999999</v>
      </c>
      <c r="I60" s="29">
        <f>ROUND((ROUND((Source!AE27*Source!AV27*Source!I27),2)),2)</f>
        <v>0.57999999999999996</v>
      </c>
      <c r="J60" s="10">
        <f>IF(Source!BS27&lt;&gt; 0, Source!BS27, 1)</f>
        <v>24.53</v>
      </c>
      <c r="K60" s="29">
        <f>Source!R27</f>
        <v>14.23</v>
      </c>
      <c r="W60">
        <f>I60</f>
        <v>0.57999999999999996</v>
      </c>
    </row>
    <row r="61" spans="1:27" ht="14.4" x14ac:dyDescent="0.3">
      <c r="A61" s="22"/>
      <c r="B61" s="23"/>
      <c r="C61" s="23" t="s">
        <v>309</v>
      </c>
      <c r="D61" s="24"/>
      <c r="E61" s="10"/>
      <c r="F61" s="26">
        <f>Source!AL27</f>
        <v>49.49</v>
      </c>
      <c r="G61" s="25" t="str">
        <f>Source!DD27</f>
        <v/>
      </c>
      <c r="H61" s="10">
        <f>Source!AW27</f>
        <v>1.002</v>
      </c>
      <c r="I61" s="27">
        <f>ROUND((ROUND((Source!AC27*Source!AW27*Source!I27),2)),2)</f>
        <v>0.05</v>
      </c>
      <c r="J61" s="10">
        <f>IF(Source!BC27&lt;&gt; 0, Source!BC27, 1)</f>
        <v>4.99</v>
      </c>
      <c r="K61" s="27">
        <f>Source!P27</f>
        <v>0.25</v>
      </c>
    </row>
    <row r="62" spans="1:27" ht="41.4" x14ac:dyDescent="0.3">
      <c r="A62" s="22" t="str">
        <f>Source!E28</f>
        <v>3,1</v>
      </c>
      <c r="B62" s="23" t="str">
        <f>Source!F28</f>
        <v>1.1-1-1553</v>
      </c>
      <c r="C62" s="23" t="s">
        <v>53</v>
      </c>
      <c r="D62" s="24" t="str">
        <f>Source!H28</f>
        <v>м3</v>
      </c>
      <c r="E62" s="10">
        <f>Source!I28</f>
        <v>0.1</v>
      </c>
      <c r="F62" s="26">
        <f>Source!AK28</f>
        <v>234.69</v>
      </c>
      <c r="G62" s="32" t="s">
        <v>3</v>
      </c>
      <c r="H62" s="10">
        <f>Source!AW28</f>
        <v>1.002</v>
      </c>
      <c r="I62" s="27">
        <f>ROUND((ROUND((Source!AC28*Source!AW28*Source!I28),2)),2)+(ROUND((ROUND(((Source!ET28)*Source!AV28*Source!I28),2)),2)+ROUND((ROUND(((Source!AE28-(Source!EU28))*Source!AV28*Source!I28),2)),2))+ROUND((ROUND((Source!AF28*Source!AV28*Source!I28),2)),2)</f>
        <v>23.52</v>
      </c>
      <c r="J62" s="10">
        <f>IF(Source!BC28&lt;&gt; 0, Source!BC28, 1)</f>
        <v>7.86</v>
      </c>
      <c r="K62" s="27">
        <f>Source!O28</f>
        <v>184.87</v>
      </c>
      <c r="Q62">
        <f>ROUND((Source!DN28/100)*ROUND((ROUND((Source!AF28*Source!AV28*Source!I28),2)),2), 2)</f>
        <v>0</v>
      </c>
      <c r="R62">
        <f>Source!X28</f>
        <v>0</v>
      </c>
      <c r="S62">
        <f>ROUND((Source!DO28/100)*ROUND((ROUND((Source!AF28*Source!AV28*Source!I28),2)),2), 2)</f>
        <v>0</v>
      </c>
      <c r="T62">
        <f>Source!Y28</f>
        <v>0</v>
      </c>
      <c r="U62">
        <f>ROUND((175/100)*ROUND((ROUND((Source!AE28*Source!AV28*Source!I28),2)),2), 2)</f>
        <v>0</v>
      </c>
      <c r="V62">
        <f>ROUND((157/100)*ROUND(ROUND((ROUND((Source!AE28*Source!AV28*Source!I28),2)*Source!BS28),2), 2), 2)</f>
        <v>0</v>
      </c>
      <c r="X62">
        <f>IF(Source!BI28&lt;=1,I62, 0)</f>
        <v>23.52</v>
      </c>
      <c r="Y62">
        <f>IF(Source!BI28=2,I62, 0)</f>
        <v>0</v>
      </c>
      <c r="Z62">
        <f>IF(Source!BI28=3,I62, 0)</f>
        <v>0</v>
      </c>
      <c r="AA62">
        <f>IF(Source!BI28=4,I62, 0)</f>
        <v>0</v>
      </c>
    </row>
    <row r="63" spans="1:27" ht="14.4" x14ac:dyDescent="0.3">
      <c r="A63" s="22"/>
      <c r="B63" s="23"/>
      <c r="C63" s="23" t="s">
        <v>303</v>
      </c>
      <c r="D63" s="24" t="s">
        <v>304</v>
      </c>
      <c r="E63" s="10">
        <f>Source!DN27</f>
        <v>140</v>
      </c>
      <c r="F63" s="26"/>
      <c r="G63" s="25"/>
      <c r="H63" s="10"/>
      <c r="I63" s="27">
        <f>SUM(Q56:Q62)</f>
        <v>0.38</v>
      </c>
      <c r="J63" s="10">
        <f>Source!BZ27</f>
        <v>112</v>
      </c>
      <c r="K63" s="27">
        <f>SUM(R56:R62)</f>
        <v>7.41</v>
      </c>
    </row>
    <row r="64" spans="1:27" ht="14.4" x14ac:dyDescent="0.3">
      <c r="A64" s="22"/>
      <c r="B64" s="23"/>
      <c r="C64" s="23" t="s">
        <v>305</v>
      </c>
      <c r="D64" s="24" t="s">
        <v>304</v>
      </c>
      <c r="E64" s="10">
        <f>Source!DO27</f>
        <v>79</v>
      </c>
      <c r="F64" s="26"/>
      <c r="G64" s="25"/>
      <c r="H64" s="10"/>
      <c r="I64" s="27">
        <f>SUM(S56:S63)</f>
        <v>0.21</v>
      </c>
      <c r="J64" s="10">
        <f>Source!CA27</f>
        <v>41</v>
      </c>
      <c r="K64" s="27">
        <f>SUM(T56:T63)</f>
        <v>2.71</v>
      </c>
    </row>
    <row r="65" spans="1:27" ht="14.4" x14ac:dyDescent="0.3">
      <c r="A65" s="22"/>
      <c r="B65" s="23"/>
      <c r="C65" s="23" t="s">
        <v>306</v>
      </c>
      <c r="D65" s="24" t="s">
        <v>304</v>
      </c>
      <c r="E65" s="10">
        <f>175</f>
        <v>175</v>
      </c>
      <c r="F65" s="26"/>
      <c r="G65" s="25"/>
      <c r="H65" s="10"/>
      <c r="I65" s="27">
        <f>SUM(U56:U64)</f>
        <v>1.02</v>
      </c>
      <c r="J65" s="10">
        <f>157</f>
        <v>157</v>
      </c>
      <c r="K65" s="27">
        <f>SUM(V56:V64)</f>
        <v>22.34</v>
      </c>
    </row>
    <row r="66" spans="1:27" ht="14.4" x14ac:dyDescent="0.3">
      <c r="A66" s="22"/>
      <c r="B66" s="23"/>
      <c r="C66" s="23" t="s">
        <v>307</v>
      </c>
      <c r="D66" s="24" t="s">
        <v>308</v>
      </c>
      <c r="E66" s="10">
        <f>Source!AQ27</f>
        <v>21.6</v>
      </c>
      <c r="F66" s="26"/>
      <c r="G66" s="25" t="str">
        <f>Source!DI27</f>
        <v>)*1,15</v>
      </c>
      <c r="H66" s="10">
        <f>Source!AV27</f>
        <v>1.0469999999999999</v>
      </c>
      <c r="I66" s="27">
        <f>Source!U27</f>
        <v>2.6007479999999999E-2</v>
      </c>
      <c r="J66" s="10"/>
      <c r="K66" s="27"/>
    </row>
    <row r="67" spans="1:27" ht="13.8" x14ac:dyDescent="0.25">
      <c r="A67" s="31"/>
      <c r="B67" s="31"/>
      <c r="C67" s="31"/>
      <c r="D67" s="31"/>
      <c r="E67" s="31"/>
      <c r="F67" s="31"/>
      <c r="G67" s="31"/>
      <c r="H67" s="61">
        <f>I58+I59+I61+I63+I64+I65+SUM(I62:I62)</f>
        <v>31.689999999999998</v>
      </c>
      <c r="I67" s="61"/>
      <c r="J67" s="61">
        <f>K58+K59+K61+K63+K64+K65+SUM(K62:K62)</f>
        <v>276.74</v>
      </c>
      <c r="K67" s="61"/>
      <c r="O67" s="30">
        <f>I58+I59+I61+I63+I64+I65+SUM(I62:I62)</f>
        <v>31.689999999999998</v>
      </c>
      <c r="P67" s="30">
        <f>K58+K59+K61+K63+K64+K65+SUM(K62:K62)</f>
        <v>276.74</v>
      </c>
      <c r="X67">
        <f>IF(Source!BI27&lt;=1,I58+I59+I61+I63+I64+I65-0, 0)</f>
        <v>8.17</v>
      </c>
      <c r="Y67">
        <f>IF(Source!BI27=2,I58+I59+I61+I63+I64+I65-0, 0)</f>
        <v>0</v>
      </c>
      <c r="Z67">
        <f>IF(Source!BI27=3,I58+I59+I61+I63+I64+I65-0, 0)</f>
        <v>0</v>
      </c>
      <c r="AA67">
        <f>IF(Source!BI27=4,I58+I59+I61+I63+I64+I65,0)</f>
        <v>0</v>
      </c>
    </row>
    <row r="68" spans="1:27" ht="55.2" x14ac:dyDescent="0.3">
      <c r="A68" s="22" t="str">
        <f>Source!E29</f>
        <v>4</v>
      </c>
      <c r="B68" s="23" t="str">
        <f>Source!F29</f>
        <v>3.1-29-2</v>
      </c>
      <c r="C68" s="23" t="s">
        <v>57</v>
      </c>
      <c r="D68" s="24" t="str">
        <f>Source!H29</f>
        <v>100 м3</v>
      </c>
      <c r="E68" s="10">
        <f>Source!I29</f>
        <v>2.3999999999999998E-3</v>
      </c>
      <c r="F68" s="26"/>
      <c r="G68" s="25"/>
      <c r="H68" s="10"/>
      <c r="I68" s="27"/>
      <c r="J68" s="10"/>
      <c r="K68" s="27"/>
      <c r="Q68">
        <f>ROUND((Source!DN29/100)*ROUND((ROUND((Source!AF29*Source!AV29*Source!I29),2)),2), 2)</f>
        <v>0.41</v>
      </c>
      <c r="R68">
        <f>Source!X29</f>
        <v>9.48</v>
      </c>
      <c r="S68">
        <f>ROUND((Source!DO29/100)*ROUND((ROUND((Source!AF29*Source!AV29*Source!I29),2)),2), 2)</f>
        <v>0.32</v>
      </c>
      <c r="T68">
        <f>Source!Y29</f>
        <v>5.15</v>
      </c>
      <c r="U68">
        <f>ROUND((175/100)*ROUND((ROUND((Source!AE29*Source!AV29*Source!I29),2)),2), 2)</f>
        <v>1.17</v>
      </c>
      <c r="V68">
        <f>ROUND((157/100)*ROUND(ROUND((ROUND((Source!AE29*Source!AV29*Source!I29),2)*Source!BS29),2), 2), 2)</f>
        <v>25.81</v>
      </c>
    </row>
    <row r="69" spans="1:27" x14ac:dyDescent="0.25">
      <c r="C69" s="28" t="str">
        <f>"Объем: "&amp;Source!I29&amp;"="&amp;Source!I24&amp;"/"&amp;"0,3*"&amp;"0,6"</f>
        <v>Объем: 0,0024=0,0012/0,3*0,6</v>
      </c>
    </row>
    <row r="70" spans="1:27" ht="14.4" x14ac:dyDescent="0.3">
      <c r="A70" s="22"/>
      <c r="B70" s="23"/>
      <c r="C70" s="23" t="s">
        <v>300</v>
      </c>
      <c r="D70" s="24"/>
      <c r="E70" s="10"/>
      <c r="F70" s="26">
        <f>Source!AO29</f>
        <v>144.22</v>
      </c>
      <c r="G70" s="25" t="str">
        <f>Source!DG29</f>
        <v>)*1,15</v>
      </c>
      <c r="H70" s="10">
        <f>Source!AV29</f>
        <v>1.0469999999999999</v>
      </c>
      <c r="I70" s="27">
        <f>ROUND((ROUND((Source!AF29*Source!AV29*Source!I29),2)),2)</f>
        <v>0.42</v>
      </c>
      <c r="J70" s="10">
        <f>IF(Source!BA29&lt;&gt; 0, Source!BA29, 1)</f>
        <v>24.53</v>
      </c>
      <c r="K70" s="27">
        <f>Source!S29</f>
        <v>10.3</v>
      </c>
      <c r="W70">
        <f>I70</f>
        <v>0.42</v>
      </c>
    </row>
    <row r="71" spans="1:27" ht="14.4" x14ac:dyDescent="0.3">
      <c r="A71" s="22"/>
      <c r="B71" s="23"/>
      <c r="C71" s="23" t="s">
        <v>301</v>
      </c>
      <c r="D71" s="24"/>
      <c r="E71" s="10"/>
      <c r="F71" s="26">
        <f>Source!AM29</f>
        <v>766.63</v>
      </c>
      <c r="G71" s="25" t="str">
        <f>Source!DE29</f>
        <v>)*1,15</v>
      </c>
      <c r="H71" s="10">
        <f>Source!AV29</f>
        <v>1.0469999999999999</v>
      </c>
      <c r="I71" s="27">
        <f>(ROUND((ROUND((((Source!ET29*1.15))*Source!AV29*Source!I29),2)),2)+ROUND((ROUND(((Source!AE29-((Source!EU29*1.15)))*Source!AV29*Source!I29),2)),2))</f>
        <v>2.2200000000000002</v>
      </c>
      <c r="J71" s="10">
        <f>IF(Source!BB29&lt;&gt; 0, Source!BB29, 1)</f>
        <v>12.05</v>
      </c>
      <c r="K71" s="27">
        <f>Source!Q29</f>
        <v>26.75</v>
      </c>
    </row>
    <row r="72" spans="1:27" ht="14.4" x14ac:dyDescent="0.3">
      <c r="A72" s="22"/>
      <c r="B72" s="23"/>
      <c r="C72" s="23" t="s">
        <v>302</v>
      </c>
      <c r="D72" s="24"/>
      <c r="E72" s="10"/>
      <c r="F72" s="26">
        <f>Source!AN29</f>
        <v>232.13</v>
      </c>
      <c r="G72" s="25" t="str">
        <f>Source!DF29</f>
        <v>)*1,15</v>
      </c>
      <c r="H72" s="10">
        <f>Source!AV29</f>
        <v>1.0469999999999999</v>
      </c>
      <c r="I72" s="29">
        <f>ROUND((ROUND((Source!AE29*Source!AV29*Source!I29),2)),2)</f>
        <v>0.67</v>
      </c>
      <c r="J72" s="10">
        <f>IF(Source!BS29&lt;&gt; 0, Source!BS29, 1)</f>
        <v>24.53</v>
      </c>
      <c r="K72" s="29">
        <f>Source!R29</f>
        <v>16.440000000000001</v>
      </c>
      <c r="W72">
        <f>I72</f>
        <v>0.67</v>
      </c>
    </row>
    <row r="73" spans="1:27" ht="14.4" x14ac:dyDescent="0.3">
      <c r="A73" s="22"/>
      <c r="B73" s="23"/>
      <c r="C73" s="23" t="s">
        <v>303</v>
      </c>
      <c r="D73" s="24" t="s">
        <v>304</v>
      </c>
      <c r="E73" s="10">
        <f>Source!DN29</f>
        <v>98</v>
      </c>
      <c r="F73" s="26"/>
      <c r="G73" s="25"/>
      <c r="H73" s="10"/>
      <c r="I73" s="27">
        <f>SUM(Q68:Q72)</f>
        <v>0.41</v>
      </c>
      <c r="J73" s="10">
        <f>Source!BZ29</f>
        <v>92</v>
      </c>
      <c r="K73" s="27">
        <f>SUM(R68:R72)</f>
        <v>9.48</v>
      </c>
    </row>
    <row r="74" spans="1:27" ht="14.4" x14ac:dyDescent="0.3">
      <c r="A74" s="22"/>
      <c r="B74" s="23"/>
      <c r="C74" s="23" t="s">
        <v>305</v>
      </c>
      <c r="D74" s="24" t="s">
        <v>304</v>
      </c>
      <c r="E74" s="10">
        <f>Source!DO29</f>
        <v>77</v>
      </c>
      <c r="F74" s="26"/>
      <c r="G74" s="25"/>
      <c r="H74" s="10"/>
      <c r="I74" s="27">
        <f>SUM(S68:S73)</f>
        <v>0.32</v>
      </c>
      <c r="J74" s="10">
        <f>Source!CA29</f>
        <v>50</v>
      </c>
      <c r="K74" s="27">
        <f>SUM(T68:T73)</f>
        <v>5.15</v>
      </c>
    </row>
    <row r="75" spans="1:27" ht="14.4" x14ac:dyDescent="0.3">
      <c r="A75" s="22"/>
      <c r="B75" s="23"/>
      <c r="C75" s="23" t="s">
        <v>306</v>
      </c>
      <c r="D75" s="24" t="s">
        <v>304</v>
      </c>
      <c r="E75" s="10">
        <f>175</f>
        <v>175</v>
      </c>
      <c r="F75" s="26"/>
      <c r="G75" s="25"/>
      <c r="H75" s="10"/>
      <c r="I75" s="27">
        <f>SUM(U68:U74)</f>
        <v>1.17</v>
      </c>
      <c r="J75" s="10">
        <f>157</f>
        <v>157</v>
      </c>
      <c r="K75" s="27">
        <f>SUM(V68:V74)</f>
        <v>25.81</v>
      </c>
    </row>
    <row r="76" spans="1:27" ht="14.4" x14ac:dyDescent="0.3">
      <c r="A76" s="22"/>
      <c r="B76" s="23"/>
      <c r="C76" s="23" t="s">
        <v>307</v>
      </c>
      <c r="D76" s="24" t="s">
        <v>308</v>
      </c>
      <c r="E76" s="10">
        <f>Source!AQ29</f>
        <v>12.9</v>
      </c>
      <c r="F76" s="26"/>
      <c r="G76" s="25" t="str">
        <f>Source!DI29</f>
        <v>)*1,15</v>
      </c>
      <c r="H76" s="10">
        <f>Source!AV29</f>
        <v>1.0469999999999999</v>
      </c>
      <c r="I76" s="27">
        <f>Source!U29</f>
        <v>3.7277387999999995E-2</v>
      </c>
      <c r="J76" s="10"/>
      <c r="K76" s="27"/>
    </row>
    <row r="77" spans="1:27" ht="13.8" x14ac:dyDescent="0.25">
      <c r="A77" s="31"/>
      <c r="B77" s="31"/>
      <c r="C77" s="31"/>
      <c r="D77" s="31"/>
      <c r="E77" s="31"/>
      <c r="F77" s="31"/>
      <c r="G77" s="31"/>
      <c r="H77" s="61">
        <f>I70+I71+I73+I74+I75</f>
        <v>4.54</v>
      </c>
      <c r="I77" s="61"/>
      <c r="J77" s="61">
        <f>K70+K71+K73+K74+K75</f>
        <v>77.489999999999995</v>
      </c>
      <c r="K77" s="61"/>
      <c r="O77" s="30">
        <f>I70+I71+I73+I74+I75</f>
        <v>4.54</v>
      </c>
      <c r="P77" s="30">
        <f>K70+K71+K73+K74+K75</f>
        <v>77.489999999999995</v>
      </c>
      <c r="X77">
        <f>IF(Source!BI29&lt;=1,I70+I71+I73+I74+I75-0, 0)</f>
        <v>4.54</v>
      </c>
      <c r="Y77">
        <f>IF(Source!BI29=2,I70+I71+I73+I74+I75-0, 0)</f>
        <v>0</v>
      </c>
      <c r="Z77">
        <f>IF(Source!BI29=3,I70+I71+I73+I74+I75-0, 0)</f>
        <v>0</v>
      </c>
      <c r="AA77">
        <f>IF(Source!BI29=4,I70+I71+I73+I74+I75,0)</f>
        <v>0</v>
      </c>
    </row>
    <row r="78" spans="1:27" ht="27.6" x14ac:dyDescent="0.3">
      <c r="A78" s="22" t="str">
        <f>Source!E30</f>
        <v>5</v>
      </c>
      <c r="B78" s="23" t="str">
        <f>Source!F30</f>
        <v>3.1-30-1</v>
      </c>
      <c r="C78" s="23" t="s">
        <v>63</v>
      </c>
      <c r="D78" s="24" t="str">
        <f>Source!H30</f>
        <v>1000 м3</v>
      </c>
      <c r="E78" s="10">
        <f>Source!I30</f>
        <v>2.3999999999999998E-3</v>
      </c>
      <c r="F78" s="26"/>
      <c r="G78" s="25"/>
      <c r="H78" s="10"/>
      <c r="I78" s="27"/>
      <c r="J78" s="10"/>
      <c r="K78" s="27"/>
      <c r="Q78">
        <f>ROUND((Source!DN30/100)*ROUND((ROUND((Source!AF30*Source!AV30*Source!I30),2)),2), 2)</f>
        <v>0.32</v>
      </c>
      <c r="R78">
        <f>Source!X30</f>
        <v>6.5</v>
      </c>
      <c r="S78">
        <f>ROUND((Source!DO30/100)*ROUND((ROUND((Source!AF30*Source!AV30*Source!I30),2)),2), 2)</f>
        <v>0.25</v>
      </c>
      <c r="T78">
        <f>Source!Y30</f>
        <v>3.54</v>
      </c>
      <c r="U78">
        <f>ROUND((175/100)*ROUND((ROUND((Source!AE30*Source!AV30*Source!I30),2)),2), 2)</f>
        <v>1.77</v>
      </c>
      <c r="V78">
        <f>ROUND((157/100)*ROUND(ROUND((ROUND((Source!AE30*Source!AV30*Source!I30),2)*Source!BS30),2), 2), 2)</f>
        <v>33.97</v>
      </c>
    </row>
    <row r="79" spans="1:27" ht="14.4" x14ac:dyDescent="0.3">
      <c r="A79" s="22"/>
      <c r="B79" s="23"/>
      <c r="C79" s="23" t="s">
        <v>300</v>
      </c>
      <c r="D79" s="24"/>
      <c r="E79" s="10"/>
      <c r="F79" s="26">
        <f>Source!AO30</f>
        <v>115.05</v>
      </c>
      <c r="G79" s="25" t="str">
        <f>Source!DG30</f>
        <v>)*1,15</v>
      </c>
      <c r="H79" s="10">
        <f>Source!AV30</f>
        <v>1.0469999999999999</v>
      </c>
      <c r="I79" s="27">
        <f>ROUND((ROUND((Source!AF30*Source!AV30*Source!I30),2)),2)</f>
        <v>0.33</v>
      </c>
      <c r="J79" s="10">
        <f>IF(Source!BA30&lt;&gt; 0, Source!BA30, 1)</f>
        <v>21.43</v>
      </c>
      <c r="K79" s="27">
        <f>Source!S30</f>
        <v>7.07</v>
      </c>
      <c r="W79">
        <f>I79</f>
        <v>0.33</v>
      </c>
    </row>
    <row r="80" spans="1:27" ht="14.4" x14ac:dyDescent="0.3">
      <c r="A80" s="22"/>
      <c r="B80" s="23"/>
      <c r="C80" s="23" t="s">
        <v>301</v>
      </c>
      <c r="D80" s="24"/>
      <c r="E80" s="10"/>
      <c r="F80" s="26">
        <f>Source!AM30</f>
        <v>1715.08</v>
      </c>
      <c r="G80" s="25" t="str">
        <f>Source!DE30</f>
        <v>)*1,15</v>
      </c>
      <c r="H80" s="10">
        <f>Source!AV30</f>
        <v>1.0469999999999999</v>
      </c>
      <c r="I80" s="27">
        <f>(ROUND((ROUND((((Source!ET30*1.15))*Source!AV30*Source!I30),2)),2)+ROUND((ROUND(((Source!AE30-((Source!EU30*1.15)))*Source!AV30*Source!I30),2)),2))</f>
        <v>4.96</v>
      </c>
      <c r="J80" s="10">
        <f>IF(Source!BB30&lt;&gt; 0, Source!BB30, 1)</f>
        <v>13.61</v>
      </c>
      <c r="K80" s="27">
        <f>Source!Q30</f>
        <v>67.510000000000005</v>
      </c>
    </row>
    <row r="81" spans="1:27" ht="14.4" x14ac:dyDescent="0.3">
      <c r="A81" s="22"/>
      <c r="B81" s="23"/>
      <c r="C81" s="23" t="s">
        <v>302</v>
      </c>
      <c r="D81" s="24"/>
      <c r="E81" s="10"/>
      <c r="F81" s="26">
        <f>Source!AN30</f>
        <v>349.04</v>
      </c>
      <c r="G81" s="25" t="str">
        <f>Source!DF30</f>
        <v>)*1,15</v>
      </c>
      <c r="H81" s="10">
        <f>Source!AV30</f>
        <v>1.0469999999999999</v>
      </c>
      <c r="I81" s="29">
        <f>ROUND((ROUND((Source!AE30*Source!AV30*Source!I30),2)),2)</f>
        <v>1.01</v>
      </c>
      <c r="J81" s="10">
        <f>IF(Source!BS30&lt;&gt; 0, Source!BS30, 1)</f>
        <v>21.43</v>
      </c>
      <c r="K81" s="29">
        <f>Source!R30</f>
        <v>21.64</v>
      </c>
      <c r="W81">
        <f>I81</f>
        <v>1.01</v>
      </c>
    </row>
    <row r="82" spans="1:27" ht="14.4" x14ac:dyDescent="0.3">
      <c r="A82" s="22"/>
      <c r="B82" s="23"/>
      <c r="C82" s="23" t="s">
        <v>309</v>
      </c>
      <c r="D82" s="24"/>
      <c r="E82" s="10"/>
      <c r="F82" s="26">
        <f>Source!AL30</f>
        <v>707</v>
      </c>
      <c r="G82" s="25" t="str">
        <f>Source!DD30</f>
        <v/>
      </c>
      <c r="H82" s="10">
        <f>Source!AW30</f>
        <v>1</v>
      </c>
      <c r="I82" s="27">
        <f>ROUND((ROUND((Source!AC30*Source!AW30*Source!I30),2)),2)</f>
        <v>1.7</v>
      </c>
      <c r="J82" s="10">
        <f>IF(Source!BC30&lt;&gt; 0, Source!BC30, 1)</f>
        <v>4.5599999999999996</v>
      </c>
      <c r="K82" s="27">
        <f>Source!P30</f>
        <v>7.75</v>
      </c>
    </row>
    <row r="83" spans="1:27" ht="14.4" x14ac:dyDescent="0.3">
      <c r="A83" s="22"/>
      <c r="B83" s="23"/>
      <c r="C83" s="23" t="s">
        <v>303</v>
      </c>
      <c r="D83" s="24" t="s">
        <v>304</v>
      </c>
      <c r="E83" s="10">
        <f>Source!DN30</f>
        <v>98</v>
      </c>
      <c r="F83" s="26"/>
      <c r="G83" s="25"/>
      <c r="H83" s="10"/>
      <c r="I83" s="27">
        <f>SUM(Q78:Q82)</f>
        <v>0.32</v>
      </c>
      <c r="J83" s="10">
        <f>Source!BZ30</f>
        <v>92</v>
      </c>
      <c r="K83" s="27">
        <f>SUM(R78:R82)</f>
        <v>6.5</v>
      </c>
    </row>
    <row r="84" spans="1:27" ht="14.4" x14ac:dyDescent="0.3">
      <c r="A84" s="22"/>
      <c r="B84" s="23"/>
      <c r="C84" s="23" t="s">
        <v>305</v>
      </c>
      <c r="D84" s="24" t="s">
        <v>304</v>
      </c>
      <c r="E84" s="10">
        <f>Source!DO30</f>
        <v>77</v>
      </c>
      <c r="F84" s="26"/>
      <c r="G84" s="25"/>
      <c r="H84" s="10"/>
      <c r="I84" s="27">
        <f>SUM(S78:S83)</f>
        <v>0.25</v>
      </c>
      <c r="J84" s="10">
        <f>Source!CA30</f>
        <v>50</v>
      </c>
      <c r="K84" s="27">
        <f>SUM(T78:T83)</f>
        <v>3.54</v>
      </c>
    </row>
    <row r="85" spans="1:27" ht="14.4" x14ac:dyDescent="0.3">
      <c r="A85" s="22"/>
      <c r="B85" s="23"/>
      <c r="C85" s="23" t="s">
        <v>306</v>
      </c>
      <c r="D85" s="24" t="s">
        <v>304</v>
      </c>
      <c r="E85" s="10">
        <f>175</f>
        <v>175</v>
      </c>
      <c r="F85" s="26"/>
      <c r="G85" s="25"/>
      <c r="H85" s="10"/>
      <c r="I85" s="27">
        <f>SUM(U78:U84)</f>
        <v>1.77</v>
      </c>
      <c r="J85" s="10">
        <f>157</f>
        <v>157</v>
      </c>
      <c r="K85" s="27">
        <f>SUM(V78:V84)</f>
        <v>33.97</v>
      </c>
    </row>
    <row r="86" spans="1:27" ht="14.4" x14ac:dyDescent="0.3">
      <c r="A86" s="22"/>
      <c r="B86" s="23"/>
      <c r="C86" s="23" t="s">
        <v>307</v>
      </c>
      <c r="D86" s="24" t="s">
        <v>308</v>
      </c>
      <c r="E86" s="10">
        <f>Source!AQ30</f>
        <v>12.2</v>
      </c>
      <c r="F86" s="26"/>
      <c r="G86" s="25" t="str">
        <f>Source!DI30</f>
        <v>)*1,15</v>
      </c>
      <c r="H86" s="10">
        <f>Source!AV30</f>
        <v>1.0469999999999999</v>
      </c>
      <c r="I86" s="27">
        <f>Source!U30</f>
        <v>3.5254583999999992E-2</v>
      </c>
      <c r="J86" s="10"/>
      <c r="K86" s="27"/>
    </row>
    <row r="87" spans="1:27" ht="13.8" x14ac:dyDescent="0.25">
      <c r="A87" s="31"/>
      <c r="B87" s="31"/>
      <c r="C87" s="31"/>
      <c r="D87" s="31"/>
      <c r="E87" s="31"/>
      <c r="F87" s="31"/>
      <c r="G87" s="31"/>
      <c r="H87" s="61">
        <f>I79+I80+I82+I83+I84+I85</f>
        <v>9.33</v>
      </c>
      <c r="I87" s="61"/>
      <c r="J87" s="61">
        <f>K79+K80+K82+K83+K84+K85</f>
        <v>126.34000000000002</v>
      </c>
      <c r="K87" s="61"/>
      <c r="O87" s="30">
        <f>I79+I80+I82+I83+I84+I85</f>
        <v>9.33</v>
      </c>
      <c r="P87" s="30">
        <f>K79+K80+K82+K83+K84+K85</f>
        <v>126.34000000000002</v>
      </c>
      <c r="X87">
        <f>IF(Source!BI30&lt;=1,I79+I80+I82+I83+I84+I85-0, 0)</f>
        <v>9.33</v>
      </c>
      <c r="Y87">
        <f>IF(Source!BI30=2,I79+I80+I82+I83+I84+I85-0, 0)</f>
        <v>0</v>
      </c>
      <c r="Z87">
        <f>IF(Source!BI30=3,I79+I80+I82+I83+I84+I85-0, 0)</f>
        <v>0</v>
      </c>
      <c r="AA87">
        <f>IF(Source!BI30=4,I79+I80+I82+I83+I84+I85,0)</f>
        <v>0</v>
      </c>
    </row>
    <row r="88" spans="1:27" ht="55.2" x14ac:dyDescent="0.3">
      <c r="A88" s="22" t="str">
        <f>Source!E31</f>
        <v>6</v>
      </c>
      <c r="B88" s="23" t="str">
        <f>Source!F31</f>
        <v>3.27-42-1</v>
      </c>
      <c r="C88" s="23" t="s">
        <v>70</v>
      </c>
      <c r="D88" s="24" t="str">
        <f>Source!H31</f>
        <v>100 м2</v>
      </c>
      <c r="E88" s="10">
        <f>Source!I31</f>
        <v>1.1999999999999999E-3</v>
      </c>
      <c r="F88" s="26"/>
      <c r="G88" s="25"/>
      <c r="H88" s="10"/>
      <c r="I88" s="27"/>
      <c r="J88" s="10"/>
      <c r="K88" s="27"/>
      <c r="Q88">
        <f>ROUND((Source!DN31/100)*ROUND((ROUND((Source!AF31*Source!AV31*Source!I31),2)),2), 2)</f>
        <v>0.11</v>
      </c>
      <c r="R88">
        <f>Source!X31</f>
        <v>2.2000000000000002</v>
      </c>
      <c r="S88">
        <f>ROUND((Source!DO31/100)*ROUND((ROUND((Source!AF31*Source!AV31*Source!I31),2)),2), 2)</f>
        <v>0.06</v>
      </c>
      <c r="T88">
        <f>Source!Y31</f>
        <v>0.8</v>
      </c>
      <c r="U88">
        <f>ROUND((175/100)*ROUND((ROUND((Source!AE31*Source!AV31*Source!I31),2)),2), 2)</f>
        <v>0.16</v>
      </c>
      <c r="V88">
        <f>ROUND((157/100)*ROUND(ROUND((ROUND((Source!AE31*Source!AV31*Source!I31),2)*Source!BS31),2), 2), 2)</f>
        <v>3.47</v>
      </c>
    </row>
    <row r="89" spans="1:27" ht="14.4" x14ac:dyDescent="0.3">
      <c r="A89" s="22"/>
      <c r="B89" s="23"/>
      <c r="C89" s="23" t="s">
        <v>300</v>
      </c>
      <c r="D89" s="24"/>
      <c r="E89" s="10"/>
      <c r="F89" s="26">
        <f>Source!AO31</f>
        <v>52.17</v>
      </c>
      <c r="G89" s="25" t="str">
        <f>Source!DG31</f>
        <v>)*1,15</v>
      </c>
      <c r="H89" s="10">
        <f>Source!AV31</f>
        <v>1.0469999999999999</v>
      </c>
      <c r="I89" s="27">
        <f>ROUND((ROUND((Source!AF31*Source!AV31*Source!I31),2)),2)</f>
        <v>0.08</v>
      </c>
      <c r="J89" s="10">
        <f>IF(Source!BA31&lt;&gt; 0, Source!BA31, 1)</f>
        <v>24.53</v>
      </c>
      <c r="K89" s="27">
        <f>Source!S31</f>
        <v>1.96</v>
      </c>
      <c r="W89">
        <f>I89</f>
        <v>0.08</v>
      </c>
    </row>
    <row r="90" spans="1:27" ht="14.4" x14ac:dyDescent="0.3">
      <c r="A90" s="22"/>
      <c r="B90" s="23"/>
      <c r="C90" s="23" t="s">
        <v>301</v>
      </c>
      <c r="D90" s="24"/>
      <c r="E90" s="10"/>
      <c r="F90" s="26">
        <f>Source!AM31</f>
        <v>498.47</v>
      </c>
      <c r="G90" s="25" t="str">
        <f>Source!DE31</f>
        <v>)*1,15</v>
      </c>
      <c r="H90" s="10">
        <f>Source!AV31</f>
        <v>1.0469999999999999</v>
      </c>
      <c r="I90" s="27">
        <f>(ROUND((ROUND((((Source!ET31*1.15))*Source!AV31*Source!I31),2)),2)+ROUND((ROUND(((Source!AE31-((Source!EU31*1.15)))*Source!AV31*Source!I31),2)),2))</f>
        <v>0.72</v>
      </c>
      <c r="J90" s="10">
        <f>IF(Source!BB31&lt;&gt; 0, Source!BB31, 1)</f>
        <v>9.32</v>
      </c>
      <c r="K90" s="27">
        <f>Source!Q31</f>
        <v>6.71</v>
      </c>
    </row>
    <row r="91" spans="1:27" ht="14.4" x14ac:dyDescent="0.3">
      <c r="A91" s="22"/>
      <c r="B91" s="23"/>
      <c r="C91" s="23" t="s">
        <v>302</v>
      </c>
      <c r="D91" s="24"/>
      <c r="E91" s="10"/>
      <c r="F91" s="26">
        <f>Source!AN31</f>
        <v>62.11</v>
      </c>
      <c r="G91" s="25" t="str">
        <f>Source!DF31</f>
        <v>)*1,15</v>
      </c>
      <c r="H91" s="10">
        <f>Source!AV31</f>
        <v>1.0469999999999999</v>
      </c>
      <c r="I91" s="29">
        <f>ROUND((ROUND((Source!AE31*Source!AV31*Source!I31),2)),2)</f>
        <v>0.09</v>
      </c>
      <c r="J91" s="10">
        <f>IF(Source!BS31&lt;&gt; 0, Source!BS31, 1)</f>
        <v>24.53</v>
      </c>
      <c r="K91" s="29">
        <f>Source!R31</f>
        <v>2.21</v>
      </c>
      <c r="W91">
        <f>I91</f>
        <v>0.09</v>
      </c>
    </row>
    <row r="92" spans="1:27" ht="14.4" x14ac:dyDescent="0.3">
      <c r="A92" s="22"/>
      <c r="B92" s="23"/>
      <c r="C92" s="23" t="s">
        <v>309</v>
      </c>
      <c r="D92" s="24"/>
      <c r="E92" s="10"/>
      <c r="F92" s="26">
        <f>Source!AL31</f>
        <v>57.83</v>
      </c>
      <c r="G92" s="25" t="str">
        <f>Source!DD31</f>
        <v/>
      </c>
      <c r="H92" s="10">
        <f>Source!AW31</f>
        <v>1</v>
      </c>
      <c r="I92" s="27">
        <f>ROUND((ROUND((Source!AC31*Source!AW31*Source!I31),2)),2)</f>
        <v>7.0000000000000007E-2</v>
      </c>
      <c r="J92" s="10">
        <f>IF(Source!BC31&lt;&gt; 0, Source!BC31, 1)</f>
        <v>9.35</v>
      </c>
      <c r="K92" s="27">
        <f>Source!P31</f>
        <v>0.65</v>
      </c>
    </row>
    <row r="93" spans="1:27" ht="41.4" x14ac:dyDescent="0.3">
      <c r="A93" s="22" t="str">
        <f>Source!E32</f>
        <v>6,1</v>
      </c>
      <c r="B93" s="23" t="str">
        <f>Source!F32</f>
        <v>1.3-3-3</v>
      </c>
      <c r="C93" s="23" t="s">
        <v>77</v>
      </c>
      <c r="D93" s="24" t="str">
        <f>Source!H32</f>
        <v>т</v>
      </c>
      <c r="E93" s="10">
        <f>Source!I32</f>
        <v>0.28799999999999998</v>
      </c>
      <c r="F93" s="26">
        <f>Source!AK32</f>
        <v>296.7</v>
      </c>
      <c r="G93" s="32" t="s">
        <v>3</v>
      </c>
      <c r="H93" s="10">
        <f>Source!AW32</f>
        <v>1</v>
      </c>
      <c r="I93" s="27">
        <f>ROUND((ROUND((Source!AC32*Source!AW32*Source!I32),2)),2)+(ROUND((ROUND(((Source!ET32)*Source!AV32*Source!I32),2)),2)+ROUND((ROUND(((Source!AE32-(Source!EU32))*Source!AV32*Source!I32),2)),2))+ROUND((ROUND((Source!AF32*Source!AV32*Source!I32),2)),2)</f>
        <v>85.45</v>
      </c>
      <c r="J93" s="10">
        <f>IF(Source!BC32&lt;&gt; 0, Source!BC32, 1)</f>
        <v>9.08</v>
      </c>
      <c r="K93" s="27">
        <f>Source!O32</f>
        <v>775.89</v>
      </c>
      <c r="Q93">
        <f>ROUND((Source!DN32/100)*ROUND((ROUND((Source!AF32*Source!AV32*Source!I32),2)),2), 2)</f>
        <v>0</v>
      </c>
      <c r="R93">
        <f>Source!X32</f>
        <v>0</v>
      </c>
      <c r="S93">
        <f>ROUND((Source!DO32/100)*ROUND((ROUND((Source!AF32*Source!AV32*Source!I32),2)),2), 2)</f>
        <v>0</v>
      </c>
      <c r="T93">
        <f>Source!Y32</f>
        <v>0</v>
      </c>
      <c r="U93">
        <f>ROUND((175/100)*ROUND((ROUND((Source!AE32*Source!AV32*Source!I32),2)),2), 2)</f>
        <v>0</v>
      </c>
      <c r="V93">
        <f>ROUND((157/100)*ROUND(ROUND((ROUND((Source!AE32*Source!AV32*Source!I32),2)*Source!BS32),2), 2), 2)</f>
        <v>0</v>
      </c>
      <c r="X93">
        <f>IF(Source!BI32&lt;=1,I93, 0)</f>
        <v>85.45</v>
      </c>
      <c r="Y93">
        <f>IF(Source!BI32=2,I93, 0)</f>
        <v>0</v>
      </c>
      <c r="Z93">
        <f>IF(Source!BI32=3,I93, 0)</f>
        <v>0</v>
      </c>
      <c r="AA93">
        <f>IF(Source!BI32=4,I93, 0)</f>
        <v>0</v>
      </c>
    </row>
    <row r="94" spans="1:27" ht="14.4" x14ac:dyDescent="0.3">
      <c r="A94" s="22"/>
      <c r="B94" s="23"/>
      <c r="C94" s="23" t="s">
        <v>303</v>
      </c>
      <c r="D94" s="24" t="s">
        <v>304</v>
      </c>
      <c r="E94" s="10">
        <f>Source!DN31</f>
        <v>140</v>
      </c>
      <c r="F94" s="26"/>
      <c r="G94" s="25"/>
      <c r="H94" s="10"/>
      <c r="I94" s="27">
        <f>SUM(Q88:Q93)</f>
        <v>0.11</v>
      </c>
      <c r="J94" s="10">
        <f>Source!BZ31</f>
        <v>112</v>
      </c>
      <c r="K94" s="27">
        <f>SUM(R88:R93)</f>
        <v>2.2000000000000002</v>
      </c>
    </row>
    <row r="95" spans="1:27" ht="14.4" x14ac:dyDescent="0.3">
      <c r="A95" s="22"/>
      <c r="B95" s="23"/>
      <c r="C95" s="23" t="s">
        <v>305</v>
      </c>
      <c r="D95" s="24" t="s">
        <v>304</v>
      </c>
      <c r="E95" s="10">
        <f>Source!DO31</f>
        <v>79</v>
      </c>
      <c r="F95" s="26"/>
      <c r="G95" s="25"/>
      <c r="H95" s="10"/>
      <c r="I95" s="27">
        <f>SUM(S88:S94)</f>
        <v>0.06</v>
      </c>
      <c r="J95" s="10">
        <f>Source!CA31</f>
        <v>41</v>
      </c>
      <c r="K95" s="27">
        <f>SUM(T88:T94)</f>
        <v>0.8</v>
      </c>
    </row>
    <row r="96" spans="1:27" ht="14.4" x14ac:dyDescent="0.3">
      <c r="A96" s="22"/>
      <c r="B96" s="23"/>
      <c r="C96" s="23" t="s">
        <v>306</v>
      </c>
      <c r="D96" s="24" t="s">
        <v>304</v>
      </c>
      <c r="E96" s="10">
        <f>175</f>
        <v>175</v>
      </c>
      <c r="F96" s="26"/>
      <c r="G96" s="25"/>
      <c r="H96" s="10"/>
      <c r="I96" s="27">
        <f>SUM(U88:U95)</f>
        <v>0.16</v>
      </c>
      <c r="J96" s="10">
        <f>157</f>
        <v>157</v>
      </c>
      <c r="K96" s="27">
        <f>SUM(V88:V95)</f>
        <v>3.47</v>
      </c>
    </row>
    <row r="97" spans="1:27" ht="14.4" x14ac:dyDescent="0.3">
      <c r="A97" s="22"/>
      <c r="B97" s="23"/>
      <c r="C97" s="23" t="s">
        <v>307</v>
      </c>
      <c r="D97" s="24" t="s">
        <v>308</v>
      </c>
      <c r="E97" s="10">
        <f>Source!AQ31</f>
        <v>4.29</v>
      </c>
      <c r="F97" s="26"/>
      <c r="G97" s="25" t="str">
        <f>Source!DI31</f>
        <v>)*1,15</v>
      </c>
      <c r="H97" s="10">
        <f>Source!AV31</f>
        <v>1.0469999999999999</v>
      </c>
      <c r="I97" s="27">
        <f>Source!U31</f>
        <v>6.1984493999999992E-3</v>
      </c>
      <c r="J97" s="10"/>
      <c r="K97" s="27"/>
    </row>
    <row r="98" spans="1:27" ht="13.8" x14ac:dyDescent="0.25">
      <c r="A98" s="31"/>
      <c r="B98" s="31"/>
      <c r="C98" s="31"/>
      <c r="D98" s="31"/>
      <c r="E98" s="31"/>
      <c r="F98" s="31"/>
      <c r="G98" s="31"/>
      <c r="H98" s="61">
        <f>I89+I90+I92+I94+I95+I96+SUM(I93:I93)</f>
        <v>86.65</v>
      </c>
      <c r="I98" s="61"/>
      <c r="J98" s="61">
        <f>K89+K90+K92+K94+K95+K96+SUM(K93:K93)</f>
        <v>791.68</v>
      </c>
      <c r="K98" s="61"/>
      <c r="O98" s="30">
        <f>I89+I90+I92+I94+I95+I96+SUM(I93:I93)</f>
        <v>86.65</v>
      </c>
      <c r="P98" s="30">
        <f>K89+K90+K92+K94+K95+K96+SUM(K93:K93)</f>
        <v>791.68</v>
      </c>
      <c r="X98">
        <f>IF(Source!BI31&lt;=1,I89+I90+I92+I94+I95+I96-0, 0)</f>
        <v>1.1999999999999997</v>
      </c>
      <c r="Y98">
        <f>IF(Source!BI31=2,I89+I90+I92+I94+I95+I96-0, 0)</f>
        <v>0</v>
      </c>
      <c r="Z98">
        <f>IF(Source!BI31=3,I89+I90+I92+I94+I95+I96-0, 0)</f>
        <v>0</v>
      </c>
      <c r="AA98">
        <f>IF(Source!BI31=4,I89+I90+I92+I94+I95+I96,0)</f>
        <v>0</v>
      </c>
    </row>
    <row r="99" spans="1:27" ht="27.6" x14ac:dyDescent="0.3">
      <c r="A99" s="22" t="str">
        <f>Source!E33</f>
        <v>7</v>
      </c>
      <c r="B99" s="23" t="str">
        <f>Source!F33</f>
        <v>6.68-53-1</v>
      </c>
      <c r="C99" s="23" t="s">
        <v>82</v>
      </c>
      <c r="D99" s="24" t="str">
        <f>Source!H33</f>
        <v>100 м</v>
      </c>
      <c r="E99" s="10">
        <f>Source!I33</f>
        <v>1.3</v>
      </c>
      <c r="F99" s="26"/>
      <c r="G99" s="25"/>
      <c r="H99" s="10"/>
      <c r="I99" s="27"/>
      <c r="J99" s="10"/>
      <c r="K99" s="27"/>
      <c r="Q99">
        <f>ROUND((Source!DN33/100)*ROUND((ROUND((Source!AF33*Source!AV33*Source!I33),2)),2), 2)</f>
        <v>1120.47</v>
      </c>
      <c r="R99">
        <f>Source!X33</f>
        <v>20657.580000000002</v>
      </c>
      <c r="S99">
        <f>ROUND((Source!DO33/100)*ROUND((ROUND((Source!AF33*Source!AV33*Source!I33),2)),2), 2)</f>
        <v>770.32</v>
      </c>
      <c r="T99">
        <f>Source!Y33</f>
        <v>12455.31</v>
      </c>
      <c r="U99">
        <f>ROUND((175/100)*ROUND((ROUND((Source!AE33*Source!AV33*Source!I33),2)),2), 2)</f>
        <v>0</v>
      </c>
      <c r="V99">
        <f>ROUND((157/100)*ROUND(ROUND((ROUND((Source!AE33*Source!AV33*Source!I33),2)*Source!BS33),2), 2), 2)</f>
        <v>0</v>
      </c>
    </row>
    <row r="100" spans="1:27" x14ac:dyDescent="0.25">
      <c r="C100" s="28" t="str">
        <f>"Объем: "&amp;Source!I33&amp;"=65*"&amp;"2/"&amp;"100"</f>
        <v>Объем: 1,3=65*2/100</v>
      </c>
    </row>
    <row r="101" spans="1:27" ht="14.4" x14ac:dyDescent="0.3">
      <c r="A101" s="22"/>
      <c r="B101" s="23"/>
      <c r="C101" s="23" t="s">
        <v>300</v>
      </c>
      <c r="D101" s="24"/>
      <c r="E101" s="10"/>
      <c r="F101" s="26">
        <f>Source!AO33</f>
        <v>857.51</v>
      </c>
      <c r="G101" s="25" t="str">
        <f>Source!DG33</f>
        <v>)*1,2</v>
      </c>
      <c r="H101" s="10">
        <f>Source!AV33</f>
        <v>1.0469999999999999</v>
      </c>
      <c r="I101" s="27">
        <f>ROUND((ROUND((Source!AF33*Source!AV33*Source!I33),2)),2)</f>
        <v>1400.59</v>
      </c>
      <c r="J101" s="10">
        <f>IF(Source!BA33&lt;&gt; 0, Source!BA33, 1)</f>
        <v>21.69</v>
      </c>
      <c r="K101" s="27">
        <f>Source!S33</f>
        <v>30378.799999999999</v>
      </c>
      <c r="W101">
        <f>I101</f>
        <v>1400.59</v>
      </c>
    </row>
    <row r="102" spans="1:27" ht="14.4" x14ac:dyDescent="0.3">
      <c r="A102" s="22"/>
      <c r="B102" s="23"/>
      <c r="C102" s="23" t="s">
        <v>303</v>
      </c>
      <c r="D102" s="24" t="s">
        <v>304</v>
      </c>
      <c r="E102" s="10">
        <f>Source!DN33</f>
        <v>80</v>
      </c>
      <c r="F102" s="26"/>
      <c r="G102" s="25"/>
      <c r="H102" s="10"/>
      <c r="I102" s="27">
        <f>SUM(Q99:Q101)</f>
        <v>1120.47</v>
      </c>
      <c r="J102" s="10">
        <f>Source!BZ33</f>
        <v>68</v>
      </c>
      <c r="K102" s="27">
        <f>SUM(R99:R101)</f>
        <v>20657.580000000002</v>
      </c>
    </row>
    <row r="103" spans="1:27" ht="14.4" x14ac:dyDescent="0.3">
      <c r="A103" s="22"/>
      <c r="B103" s="23"/>
      <c r="C103" s="23" t="s">
        <v>305</v>
      </c>
      <c r="D103" s="24" t="s">
        <v>304</v>
      </c>
      <c r="E103" s="10">
        <f>Source!DO33</f>
        <v>55</v>
      </c>
      <c r="F103" s="26"/>
      <c r="G103" s="25"/>
      <c r="H103" s="10"/>
      <c r="I103" s="27">
        <f>SUM(S99:S102)</f>
        <v>770.32</v>
      </c>
      <c r="J103" s="10">
        <f>Source!CA33</f>
        <v>41</v>
      </c>
      <c r="K103" s="27">
        <f>SUM(T99:T102)</f>
        <v>12455.31</v>
      </c>
    </row>
    <row r="104" spans="1:27" ht="14.4" x14ac:dyDescent="0.3">
      <c r="A104" s="22"/>
      <c r="B104" s="23"/>
      <c r="C104" s="23" t="s">
        <v>307</v>
      </c>
      <c r="D104" s="24" t="s">
        <v>308</v>
      </c>
      <c r="E104" s="10">
        <f>Source!AQ33</f>
        <v>76.7</v>
      </c>
      <c r="F104" s="26"/>
      <c r="G104" s="25" t="str">
        <f>Source!DI33</f>
        <v>)*1,2</v>
      </c>
      <c r="H104" s="10">
        <f>Source!AV33</f>
        <v>1.0469999999999999</v>
      </c>
      <c r="I104" s="27">
        <f>Source!U33</f>
        <v>125.27564400000001</v>
      </c>
      <c r="J104" s="10"/>
      <c r="K104" s="27"/>
    </row>
    <row r="105" spans="1:27" ht="13.8" x14ac:dyDescent="0.25">
      <c r="A105" s="31"/>
      <c r="B105" s="31"/>
      <c r="C105" s="31"/>
      <c r="D105" s="31"/>
      <c r="E105" s="31"/>
      <c r="F105" s="31"/>
      <c r="G105" s="31"/>
      <c r="H105" s="61">
        <f>I101+I102+I103</f>
        <v>3291.38</v>
      </c>
      <c r="I105" s="61"/>
      <c r="J105" s="61">
        <f>K101+K102+K103</f>
        <v>63491.69</v>
      </c>
      <c r="K105" s="61"/>
      <c r="O105" s="30">
        <f>I101+I102+I103</f>
        <v>3291.38</v>
      </c>
      <c r="P105" s="30">
        <f>K101+K102+K103</f>
        <v>63491.69</v>
      </c>
      <c r="X105">
        <f>IF(Source!BI33&lt;=1,I101+I102+I103-0, 0)</f>
        <v>3291.38</v>
      </c>
      <c r="Y105">
        <f>IF(Source!BI33=2,I101+I102+I103-0, 0)</f>
        <v>0</v>
      </c>
      <c r="Z105">
        <f>IF(Source!BI33=3,I101+I102+I103-0, 0)</f>
        <v>0</v>
      </c>
      <c r="AA105">
        <f>IF(Source!BI33=4,I101+I102+I103,0)</f>
        <v>0</v>
      </c>
    </row>
    <row r="106" spans="1:27" ht="41.4" x14ac:dyDescent="0.3">
      <c r="A106" s="22" t="str">
        <f>Source!E34</f>
        <v>8</v>
      </c>
      <c r="B106" s="23" t="str">
        <f>Source!F34</f>
        <v>3.27-26-6</v>
      </c>
      <c r="C106" s="23" t="s">
        <v>89</v>
      </c>
      <c r="D106" s="24" t="str">
        <f>Source!H34</f>
        <v>100 м</v>
      </c>
      <c r="E106" s="10">
        <f>Source!I34</f>
        <v>0.1</v>
      </c>
      <c r="F106" s="26"/>
      <c r="G106" s="25"/>
      <c r="H106" s="10"/>
      <c r="I106" s="27"/>
      <c r="J106" s="10"/>
      <c r="K106" s="27"/>
      <c r="Q106">
        <f>ROUND((Source!DN34/100)*ROUND((ROUND((Source!AF34*Source!AV34*Source!I34),2)),2), 2)</f>
        <v>136.09</v>
      </c>
      <c r="R106">
        <f>Source!X34</f>
        <v>2401.83</v>
      </c>
      <c r="S106">
        <f>ROUND((Source!DO34/100)*ROUND((ROUND((Source!AF34*Source!AV34*Source!I34),2)),2), 2)</f>
        <v>90.45</v>
      </c>
      <c r="T106">
        <f>Source!Y34</f>
        <v>990.07</v>
      </c>
      <c r="U106">
        <f>ROUND((175/100)*ROUND((ROUND((Source!AE34*Source!AV34*Source!I34),2)),2), 2)</f>
        <v>2.19</v>
      </c>
      <c r="V106">
        <f>ROUND((157/100)*ROUND(ROUND((ROUND((Source!AE34*Source!AV34*Source!I34),2)*Source!BS34),2), 2), 2)</f>
        <v>42.56</v>
      </c>
    </row>
    <row r="107" spans="1:27" x14ac:dyDescent="0.25">
      <c r="C107" s="28" t="str">
        <f>"Объем: "&amp;Source!I34&amp;"=10/"&amp;"100"</f>
        <v>Объем: 0,1=10/100</v>
      </c>
    </row>
    <row r="108" spans="1:27" ht="14.4" x14ac:dyDescent="0.3">
      <c r="A108" s="22"/>
      <c r="B108" s="23"/>
      <c r="C108" s="23" t="s">
        <v>300</v>
      </c>
      <c r="D108" s="24"/>
      <c r="E108" s="10"/>
      <c r="F108" s="26">
        <f>Source!AO34</f>
        <v>702.01</v>
      </c>
      <c r="G108" s="25" t="str">
        <f>Source!DG34</f>
        <v>)*1,15</v>
      </c>
      <c r="H108" s="10">
        <f>Source!AV34</f>
        <v>1.0469999999999999</v>
      </c>
      <c r="I108" s="27">
        <f>ROUND((ROUND((Source!AF34*Source!AV34*Source!I34),2)),2)</f>
        <v>84.53</v>
      </c>
      <c r="J108" s="10">
        <f>IF(Source!BA34&lt;&gt; 0, Source!BA34, 1)</f>
        <v>21.69</v>
      </c>
      <c r="K108" s="27">
        <f>Source!S34</f>
        <v>1833.46</v>
      </c>
      <c r="W108">
        <f>I108</f>
        <v>84.53</v>
      </c>
    </row>
    <row r="109" spans="1:27" ht="14.4" x14ac:dyDescent="0.3">
      <c r="A109" s="22"/>
      <c r="B109" s="23"/>
      <c r="C109" s="23" t="s">
        <v>301</v>
      </c>
      <c r="D109" s="24"/>
      <c r="E109" s="10"/>
      <c r="F109" s="26">
        <f>Source!AM34</f>
        <v>40.78</v>
      </c>
      <c r="G109" s="25" t="str">
        <f>Source!DE34</f>
        <v>)*1,15</v>
      </c>
      <c r="H109" s="10">
        <f>Source!AV34</f>
        <v>1.0469999999999999</v>
      </c>
      <c r="I109" s="27">
        <f>(ROUND((ROUND((((Source!ET34*1.15))*Source!AV34*Source!I34),2)),2)+ROUND((ROUND(((Source!AE34-((Source!EU34*1.15)))*Source!AV34*Source!I34),2)),2))</f>
        <v>4.91</v>
      </c>
      <c r="J109" s="10">
        <f>IF(Source!BB34&lt;&gt; 0, Source!BB34, 1)</f>
        <v>9.0399999999999991</v>
      </c>
      <c r="K109" s="27">
        <f>Source!Q34</f>
        <v>44.39</v>
      </c>
    </row>
    <row r="110" spans="1:27" ht="14.4" x14ac:dyDescent="0.3">
      <c r="A110" s="22"/>
      <c r="B110" s="23"/>
      <c r="C110" s="23" t="s">
        <v>302</v>
      </c>
      <c r="D110" s="24"/>
      <c r="E110" s="10"/>
      <c r="F110" s="26">
        <f>Source!AN34</f>
        <v>10.38</v>
      </c>
      <c r="G110" s="25" t="str">
        <f>Source!DF34</f>
        <v>)*1,15</v>
      </c>
      <c r="H110" s="10">
        <f>Source!AV34</f>
        <v>1.0469999999999999</v>
      </c>
      <c r="I110" s="29">
        <f>ROUND((ROUND((Source!AE34*Source!AV34*Source!I34),2)),2)</f>
        <v>1.25</v>
      </c>
      <c r="J110" s="10">
        <f>IF(Source!BS34&lt;&gt; 0, Source!BS34, 1)</f>
        <v>21.69</v>
      </c>
      <c r="K110" s="29">
        <f>Source!R34</f>
        <v>27.11</v>
      </c>
      <c r="W110">
        <f>I110</f>
        <v>1.25</v>
      </c>
    </row>
    <row r="111" spans="1:27" ht="14.4" x14ac:dyDescent="0.3">
      <c r="A111" s="22"/>
      <c r="B111" s="23"/>
      <c r="C111" s="23" t="s">
        <v>309</v>
      </c>
      <c r="D111" s="24"/>
      <c r="E111" s="10"/>
      <c r="F111" s="26">
        <f>Source!AL34</f>
        <v>3709.87</v>
      </c>
      <c r="G111" s="25" t="str">
        <f>Source!DD34</f>
        <v/>
      </c>
      <c r="H111" s="10">
        <f>Source!AW34</f>
        <v>1.03</v>
      </c>
      <c r="I111" s="27">
        <f>ROUND((ROUND((Source!AC34*Source!AW34*Source!I34),2)),2)</f>
        <v>382.12</v>
      </c>
      <c r="J111" s="10">
        <f>IF(Source!BC34&lt;&gt; 0, Source!BC34, 1)</f>
        <v>5.14</v>
      </c>
      <c r="K111" s="27">
        <f>Source!P34</f>
        <v>1964.1</v>
      </c>
    </row>
    <row r="112" spans="1:27" ht="41.4" x14ac:dyDescent="0.3">
      <c r="A112" s="22" t="str">
        <f>Source!E35</f>
        <v>8,1</v>
      </c>
      <c r="B112" s="23" t="str">
        <f>Source!F35</f>
        <v>1.5-3-404</v>
      </c>
      <c r="C112" s="23" t="s">
        <v>95</v>
      </c>
      <c r="D112" s="24" t="str">
        <f>Source!H35</f>
        <v>м3</v>
      </c>
      <c r="E112" s="10">
        <f>Source!I35</f>
        <v>0.32</v>
      </c>
      <c r="F112" s="26">
        <f>Source!AK35</f>
        <v>4406.71</v>
      </c>
      <c r="G112" s="32" t="s">
        <v>3</v>
      </c>
      <c r="H112" s="10">
        <f>Source!AW35</f>
        <v>1.03</v>
      </c>
      <c r="I112" s="27">
        <f>ROUND((ROUND((Source!AC35*Source!AW35*Source!I35),2)),2)+(ROUND((ROUND(((Source!ET35)*Source!AV35*Source!I35),2)),2)+ROUND((ROUND(((Source!AE35-(Source!EU35))*Source!AV35*Source!I35),2)),2))+ROUND((ROUND((Source!AF35*Source!AV35*Source!I35),2)),2)</f>
        <v>1452.45</v>
      </c>
      <c r="J112" s="10">
        <f>IF(Source!BC35&lt;&gt; 0, Source!BC35, 1)</f>
        <v>3.01</v>
      </c>
      <c r="K112" s="27">
        <f>Source!O35</f>
        <v>4371.87</v>
      </c>
      <c r="Q112">
        <f>ROUND((Source!DN35/100)*ROUND((ROUND((Source!AF35*Source!AV35*Source!I35),2)),2), 2)</f>
        <v>0</v>
      </c>
      <c r="R112">
        <f>Source!X35</f>
        <v>0</v>
      </c>
      <c r="S112">
        <f>ROUND((Source!DO35/100)*ROUND((ROUND((Source!AF35*Source!AV35*Source!I35),2)),2), 2)</f>
        <v>0</v>
      </c>
      <c r="T112">
        <f>Source!Y35</f>
        <v>0</v>
      </c>
      <c r="U112">
        <f>ROUND((175/100)*ROUND((ROUND((Source!AE35*Source!AV35*Source!I35),2)),2), 2)</f>
        <v>0</v>
      </c>
      <c r="V112">
        <f>ROUND((157/100)*ROUND(ROUND((ROUND((Source!AE35*Source!AV35*Source!I35),2)*Source!BS35),2), 2), 2)</f>
        <v>0</v>
      </c>
      <c r="X112">
        <f>IF(Source!BI35&lt;=1,I112, 0)</f>
        <v>1452.45</v>
      </c>
      <c r="Y112">
        <f>IF(Source!BI35=2,I112, 0)</f>
        <v>0</v>
      </c>
      <c r="Z112">
        <f>IF(Source!BI35=3,I112, 0)</f>
        <v>0</v>
      </c>
      <c r="AA112">
        <f>IF(Source!BI35=4,I112, 0)</f>
        <v>0</v>
      </c>
    </row>
    <row r="113" spans="1:27" ht="14.4" x14ac:dyDescent="0.3">
      <c r="A113" s="22"/>
      <c r="B113" s="23"/>
      <c r="C113" s="23" t="s">
        <v>303</v>
      </c>
      <c r="D113" s="24" t="s">
        <v>304</v>
      </c>
      <c r="E113" s="10">
        <f>Source!DN34</f>
        <v>161</v>
      </c>
      <c r="F113" s="26"/>
      <c r="G113" s="25"/>
      <c r="H113" s="10"/>
      <c r="I113" s="27">
        <f>SUM(Q106:Q112)</f>
        <v>136.09</v>
      </c>
      <c r="J113" s="10">
        <f>Source!BZ34</f>
        <v>131</v>
      </c>
      <c r="K113" s="27">
        <f>SUM(R106:R112)</f>
        <v>2401.83</v>
      </c>
    </row>
    <row r="114" spans="1:27" ht="14.4" x14ac:dyDescent="0.3">
      <c r="A114" s="22"/>
      <c r="B114" s="23"/>
      <c r="C114" s="23" t="s">
        <v>305</v>
      </c>
      <c r="D114" s="24" t="s">
        <v>304</v>
      </c>
      <c r="E114" s="10">
        <f>Source!DO34</f>
        <v>107</v>
      </c>
      <c r="F114" s="26"/>
      <c r="G114" s="25"/>
      <c r="H114" s="10"/>
      <c r="I114" s="27">
        <f>SUM(S106:S113)</f>
        <v>90.45</v>
      </c>
      <c r="J114" s="10">
        <f>Source!CA34</f>
        <v>54</v>
      </c>
      <c r="K114" s="27">
        <f>SUM(T106:T113)</f>
        <v>990.07</v>
      </c>
    </row>
    <row r="115" spans="1:27" ht="14.4" x14ac:dyDescent="0.3">
      <c r="A115" s="22"/>
      <c r="B115" s="23"/>
      <c r="C115" s="23" t="s">
        <v>306</v>
      </c>
      <c r="D115" s="24" t="s">
        <v>304</v>
      </c>
      <c r="E115" s="10">
        <f>175</f>
        <v>175</v>
      </c>
      <c r="F115" s="26"/>
      <c r="G115" s="25"/>
      <c r="H115" s="10"/>
      <c r="I115" s="27">
        <f>SUM(U106:U114)</f>
        <v>2.19</v>
      </c>
      <c r="J115" s="10">
        <f>157</f>
        <v>157</v>
      </c>
      <c r="K115" s="27">
        <f>SUM(V106:V114)</f>
        <v>42.56</v>
      </c>
    </row>
    <row r="116" spans="1:27" ht="14.4" x14ac:dyDescent="0.3">
      <c r="A116" s="22"/>
      <c r="B116" s="23"/>
      <c r="C116" s="23" t="s">
        <v>307</v>
      </c>
      <c r="D116" s="24" t="s">
        <v>308</v>
      </c>
      <c r="E116" s="10">
        <f>Source!AQ34</f>
        <v>63.44</v>
      </c>
      <c r="F116" s="26"/>
      <c r="G116" s="25" t="str">
        <f>Source!DI34</f>
        <v>)*1,15</v>
      </c>
      <c r="H116" s="10">
        <f>Source!AV34</f>
        <v>1.0469999999999999</v>
      </c>
      <c r="I116" s="27">
        <f>Source!U34</f>
        <v>7.6384931999999983</v>
      </c>
      <c r="J116" s="10"/>
      <c r="K116" s="27"/>
    </row>
    <row r="117" spans="1:27" ht="13.8" x14ac:dyDescent="0.25">
      <c r="A117" s="31"/>
      <c r="B117" s="31"/>
      <c r="C117" s="31"/>
      <c r="D117" s="31"/>
      <c r="E117" s="31"/>
      <c r="F117" s="31"/>
      <c r="G117" s="31"/>
      <c r="H117" s="61">
        <f>I108+I109+I111+I113+I114+I115+SUM(I112:I112)</f>
        <v>2152.7400000000002</v>
      </c>
      <c r="I117" s="61"/>
      <c r="J117" s="61">
        <f>K108+K109+K111+K113+K114+K115+SUM(K112:K112)</f>
        <v>11648.279999999999</v>
      </c>
      <c r="K117" s="61"/>
      <c r="O117" s="30">
        <f>I108+I109+I111+I113+I114+I115+SUM(I112:I112)</f>
        <v>2152.7400000000002</v>
      </c>
      <c r="P117" s="30">
        <f>K108+K109+K111+K113+K114+K115+SUM(K112:K112)</f>
        <v>11648.279999999999</v>
      </c>
      <c r="X117">
        <f>IF(Source!BI34&lt;=1,I108+I109+I111+I113+I114+I115-0, 0)</f>
        <v>700.29000000000008</v>
      </c>
      <c r="Y117">
        <f>IF(Source!BI34=2,I108+I109+I111+I113+I114+I115-0, 0)</f>
        <v>0</v>
      </c>
      <c r="Z117">
        <f>IF(Source!BI34=3,I108+I109+I111+I113+I114+I115-0, 0)</f>
        <v>0</v>
      </c>
      <c r="AA117">
        <f>IF(Source!BI34=4,I108+I109+I111+I113+I114+I115,0)</f>
        <v>0</v>
      </c>
    </row>
    <row r="118" spans="1:27" ht="69" x14ac:dyDescent="0.3">
      <c r="A118" s="22" t="str">
        <f>Source!E36</f>
        <v>9</v>
      </c>
      <c r="B118" s="23" t="str">
        <f>Source!F36</f>
        <v>3.47-26-4</v>
      </c>
      <c r="C118" s="23" t="s">
        <v>99</v>
      </c>
      <c r="D118" s="24" t="str">
        <f>Source!H36</f>
        <v>100 м2</v>
      </c>
      <c r="E118" s="10">
        <f>Source!I36</f>
        <v>0.65</v>
      </c>
      <c r="F118" s="26"/>
      <c r="G118" s="25"/>
      <c r="H118" s="10"/>
      <c r="I118" s="27"/>
      <c r="J118" s="10"/>
      <c r="K118" s="27"/>
      <c r="Q118">
        <f>ROUND((Source!DN36/100)*ROUND((ROUND((Source!AF36*Source!AV36*Source!I36),2)),2), 2)</f>
        <v>485.57</v>
      </c>
      <c r="R118">
        <f>Source!X36</f>
        <v>6871.69</v>
      </c>
      <c r="S118">
        <f>ROUND((Source!DO36/100)*ROUND((ROUND((Source!AF36*Source!AV36*Source!I36),2)),2), 2)</f>
        <v>261.45999999999998</v>
      </c>
      <c r="T118">
        <f>Source!Y36</f>
        <v>3130.44</v>
      </c>
      <c r="U118">
        <f>ROUND((175/100)*ROUND((ROUND((Source!AE36*Source!AV36*Source!I36),2)),2), 2)</f>
        <v>0</v>
      </c>
      <c r="V118">
        <f>ROUND((157/100)*ROUND(ROUND((ROUND((Source!AE36*Source!AV36*Source!I36),2)*Source!BS36),2), 2), 2)</f>
        <v>0</v>
      </c>
    </row>
    <row r="119" spans="1:27" x14ac:dyDescent="0.25">
      <c r="C119" s="28" t="str">
        <f>"Объем: "&amp;Source!I36&amp;"=(65*"&amp;"1)/"&amp;"100"</f>
        <v>Объем: 0,65=(65*1)/100</v>
      </c>
    </row>
    <row r="120" spans="1:27" ht="14.4" x14ac:dyDescent="0.3">
      <c r="A120" s="22"/>
      <c r="B120" s="23"/>
      <c r="C120" s="23" t="s">
        <v>300</v>
      </c>
      <c r="D120" s="24"/>
      <c r="E120" s="10"/>
      <c r="F120" s="26">
        <f>Source!AO36</f>
        <v>416.4</v>
      </c>
      <c r="G120" s="25" t="str">
        <f>Source!DG36</f>
        <v>)*1,15</v>
      </c>
      <c r="H120" s="10">
        <f>Source!AV36</f>
        <v>1</v>
      </c>
      <c r="I120" s="27">
        <f>ROUND((ROUND((Source!AF36*Source!AV36*Source!I36),2)),2)</f>
        <v>311.26</v>
      </c>
      <c r="J120" s="10">
        <f>IF(Source!BA36&lt;&gt; 0, Source!BA36, 1)</f>
        <v>24.53</v>
      </c>
      <c r="K120" s="27">
        <f>Source!S36</f>
        <v>7635.21</v>
      </c>
      <c r="W120">
        <f>I120</f>
        <v>311.26</v>
      </c>
    </row>
    <row r="121" spans="1:27" ht="14.4" x14ac:dyDescent="0.3">
      <c r="A121" s="22" t="str">
        <f>Source!E37</f>
        <v>9,1</v>
      </c>
      <c r="B121" s="23" t="str">
        <f>Source!F37</f>
        <v>1.4-6-1</v>
      </c>
      <c r="C121" s="23" t="s">
        <v>105</v>
      </c>
      <c r="D121" s="24" t="str">
        <f>Source!H37</f>
        <v>м3</v>
      </c>
      <c r="E121" s="10">
        <f>Source!I37</f>
        <v>9.75</v>
      </c>
      <c r="F121" s="26">
        <f>Source!AK37</f>
        <v>146.84</v>
      </c>
      <c r="G121" s="32" t="s">
        <v>3</v>
      </c>
      <c r="H121" s="10">
        <f>Source!AW37</f>
        <v>1</v>
      </c>
      <c r="I121" s="27">
        <f>ROUND((ROUND((Source!AC37*Source!AW37*Source!I37),2)),2)+(ROUND((ROUND(((Source!ET37)*Source!AV37*Source!I37),2)),2)+ROUND((ROUND(((Source!AE37-(Source!EU37))*Source!AV37*Source!I37),2)),2))+ROUND((ROUND((Source!AF37*Source!AV37*Source!I37),2)),2)</f>
        <v>1431.69</v>
      </c>
      <c r="J121" s="10">
        <f>IF(Source!BC37&lt;&gt; 0, Source!BC37, 1)</f>
        <v>4.47</v>
      </c>
      <c r="K121" s="27">
        <f>Source!O37</f>
        <v>6399.65</v>
      </c>
      <c r="Q121">
        <f>ROUND((Source!DN37/100)*ROUND((ROUND((Source!AF37*Source!AV37*Source!I37),2)),2), 2)</f>
        <v>0</v>
      </c>
      <c r="R121">
        <f>Source!X37</f>
        <v>0</v>
      </c>
      <c r="S121">
        <f>ROUND((Source!DO37/100)*ROUND((ROUND((Source!AF37*Source!AV37*Source!I37),2)),2), 2)</f>
        <v>0</v>
      </c>
      <c r="T121">
        <f>Source!Y37</f>
        <v>0</v>
      </c>
      <c r="U121">
        <f>ROUND((175/100)*ROUND((ROUND((Source!AE37*Source!AV37*Source!I37),2)),2), 2)</f>
        <v>0</v>
      </c>
      <c r="V121">
        <f>ROUND((157/100)*ROUND(ROUND((ROUND((Source!AE37*Source!AV37*Source!I37),2)*Source!BS37),2), 2), 2)</f>
        <v>0</v>
      </c>
      <c r="X121">
        <f>IF(Source!BI37&lt;=1,I121, 0)</f>
        <v>1431.69</v>
      </c>
      <c r="Y121">
        <f>IF(Source!BI37=2,I121, 0)</f>
        <v>0</v>
      </c>
      <c r="Z121">
        <f>IF(Source!BI37=3,I121, 0)</f>
        <v>0</v>
      </c>
      <c r="AA121">
        <f>IF(Source!BI37=4,I121, 0)</f>
        <v>0</v>
      </c>
    </row>
    <row r="122" spans="1:27" ht="14.4" x14ac:dyDescent="0.3">
      <c r="A122" s="22"/>
      <c r="B122" s="23"/>
      <c r="C122" s="23" t="s">
        <v>303</v>
      </c>
      <c r="D122" s="24" t="s">
        <v>304</v>
      </c>
      <c r="E122" s="10">
        <f>Source!DN36</f>
        <v>156</v>
      </c>
      <c r="F122" s="26"/>
      <c r="G122" s="25"/>
      <c r="H122" s="10"/>
      <c r="I122" s="27">
        <f>SUM(Q118:Q121)</f>
        <v>485.57</v>
      </c>
      <c r="J122" s="10">
        <f>Source!BZ36</f>
        <v>90</v>
      </c>
      <c r="K122" s="27">
        <f>SUM(R118:R121)</f>
        <v>6871.69</v>
      </c>
    </row>
    <row r="123" spans="1:27" ht="14.4" x14ac:dyDescent="0.3">
      <c r="A123" s="22"/>
      <c r="B123" s="23"/>
      <c r="C123" s="23" t="s">
        <v>305</v>
      </c>
      <c r="D123" s="24" t="s">
        <v>304</v>
      </c>
      <c r="E123" s="10">
        <f>Source!DO36</f>
        <v>84</v>
      </c>
      <c r="F123" s="26"/>
      <c r="G123" s="25"/>
      <c r="H123" s="10"/>
      <c r="I123" s="27">
        <f>SUM(S118:S122)</f>
        <v>261.45999999999998</v>
      </c>
      <c r="J123" s="10">
        <f>Source!CA36</f>
        <v>41</v>
      </c>
      <c r="K123" s="27">
        <f>SUM(T118:T122)</f>
        <v>3130.44</v>
      </c>
    </row>
    <row r="124" spans="1:27" ht="14.4" x14ac:dyDescent="0.3">
      <c r="A124" s="22"/>
      <c r="B124" s="23"/>
      <c r="C124" s="23" t="s">
        <v>307</v>
      </c>
      <c r="D124" s="24" t="s">
        <v>308</v>
      </c>
      <c r="E124" s="10">
        <f>Source!AQ36</f>
        <v>40</v>
      </c>
      <c r="F124" s="26"/>
      <c r="G124" s="25" t="str">
        <f>Source!DI36</f>
        <v>)*1,15</v>
      </c>
      <c r="H124" s="10">
        <f>Source!AV36</f>
        <v>1</v>
      </c>
      <c r="I124" s="27">
        <f>Source!U36</f>
        <v>29.900000000000002</v>
      </c>
      <c r="J124" s="10"/>
      <c r="K124" s="27"/>
    </row>
    <row r="125" spans="1:27" ht="13.8" x14ac:dyDescent="0.25">
      <c r="A125" s="31"/>
      <c r="B125" s="31"/>
      <c r="C125" s="31"/>
      <c r="D125" s="31"/>
      <c r="E125" s="31"/>
      <c r="F125" s="31"/>
      <c r="G125" s="31"/>
      <c r="H125" s="61">
        <f>I120+I122+I123+SUM(I121:I121)</f>
        <v>2489.98</v>
      </c>
      <c r="I125" s="61"/>
      <c r="J125" s="61">
        <f>K120+K122+K123+SUM(K121:K121)</f>
        <v>24036.989999999998</v>
      </c>
      <c r="K125" s="61"/>
      <c r="O125" s="30">
        <f>I120+I122+I123+SUM(I121:I121)</f>
        <v>2489.98</v>
      </c>
      <c r="P125" s="30">
        <f>K120+K122+K123+SUM(K121:K121)</f>
        <v>24036.989999999998</v>
      </c>
      <c r="X125">
        <f>IF(Source!BI36&lt;=1,I120+I122+I123-0, 0)</f>
        <v>1058.29</v>
      </c>
      <c r="Y125">
        <f>IF(Source!BI36=2,I120+I122+I123-0, 0)</f>
        <v>0</v>
      </c>
      <c r="Z125">
        <f>IF(Source!BI36=3,I120+I122+I123-0, 0)</f>
        <v>0</v>
      </c>
      <c r="AA125">
        <f>IF(Source!BI36=4,I120+I122+I123,0)</f>
        <v>0</v>
      </c>
    </row>
    <row r="126" spans="1:27" ht="41.4" x14ac:dyDescent="0.3">
      <c r="A126" s="22" t="str">
        <f>Source!E38</f>
        <v>10</v>
      </c>
      <c r="B126" s="23" t="str">
        <f>Source!F38</f>
        <v>3.47-26-6</v>
      </c>
      <c r="C126" s="23" t="s">
        <v>109</v>
      </c>
      <c r="D126" s="24" t="str">
        <f>Source!H38</f>
        <v>100 м2</v>
      </c>
      <c r="E126" s="10">
        <f>Source!I38</f>
        <v>0.65</v>
      </c>
      <c r="F126" s="26"/>
      <c r="G126" s="25"/>
      <c r="H126" s="10"/>
      <c r="I126" s="27"/>
      <c r="J126" s="10"/>
      <c r="K126" s="27"/>
      <c r="Q126">
        <f>ROUND((Source!DN38/100)*ROUND((ROUND((Source!AF38*Source!AV38*Source!I38),2)),2), 2)</f>
        <v>68.45</v>
      </c>
      <c r="R126">
        <f>Source!X38</f>
        <v>968.74</v>
      </c>
      <c r="S126">
        <f>ROUND((Source!DO38/100)*ROUND((ROUND((Source!AF38*Source!AV38*Source!I38),2)),2), 2)</f>
        <v>36.86</v>
      </c>
      <c r="T126">
        <f>Source!Y38</f>
        <v>441.32</v>
      </c>
      <c r="U126">
        <f>ROUND((175/100)*ROUND((ROUND((Source!AE38*Source!AV38*Source!I38),2)),2), 2)</f>
        <v>0</v>
      </c>
      <c r="V126">
        <f>ROUND((157/100)*ROUND(ROUND((ROUND((Source!AE38*Source!AV38*Source!I38),2)*Source!BS38),2), 2), 2)</f>
        <v>0</v>
      </c>
    </row>
    <row r="127" spans="1:27" ht="14.4" x14ac:dyDescent="0.3">
      <c r="A127" s="22"/>
      <c r="B127" s="23"/>
      <c r="C127" s="23" t="s">
        <v>300</v>
      </c>
      <c r="D127" s="24"/>
      <c r="E127" s="10"/>
      <c r="F127" s="26">
        <f>Source!AO38</f>
        <v>58.7</v>
      </c>
      <c r="G127" s="25" t="str">
        <f>Source!DG38</f>
        <v>)*1,15</v>
      </c>
      <c r="H127" s="10">
        <f>Source!AV38</f>
        <v>1</v>
      </c>
      <c r="I127" s="27">
        <f>ROUND((ROUND((Source!AF38*Source!AV38*Source!I38),2)),2)</f>
        <v>43.88</v>
      </c>
      <c r="J127" s="10">
        <f>IF(Source!BA38&lt;&gt; 0, Source!BA38, 1)</f>
        <v>24.53</v>
      </c>
      <c r="K127" s="27">
        <f>Source!S38</f>
        <v>1076.3800000000001</v>
      </c>
      <c r="W127">
        <f>I127</f>
        <v>43.88</v>
      </c>
    </row>
    <row r="128" spans="1:27" ht="14.4" x14ac:dyDescent="0.3">
      <c r="A128" s="22"/>
      <c r="B128" s="23"/>
      <c r="C128" s="23" t="s">
        <v>309</v>
      </c>
      <c r="D128" s="24"/>
      <c r="E128" s="10"/>
      <c r="F128" s="26">
        <f>Source!AL38</f>
        <v>70.7</v>
      </c>
      <c r="G128" s="25" t="str">
        <f>Source!DD38</f>
        <v/>
      </c>
      <c r="H128" s="10">
        <f>Source!AW38</f>
        <v>1</v>
      </c>
      <c r="I128" s="27">
        <f>ROUND((ROUND((Source!AC38*Source!AW38*Source!I38),2)),2)</f>
        <v>45.96</v>
      </c>
      <c r="J128" s="10">
        <f>IF(Source!BC38&lt;&gt; 0, Source!BC38, 1)</f>
        <v>4.99</v>
      </c>
      <c r="K128" s="27">
        <f>Source!P38</f>
        <v>229.34</v>
      </c>
    </row>
    <row r="129" spans="1:38" ht="27.6" x14ac:dyDescent="0.3">
      <c r="A129" s="22" t="str">
        <f>Source!E39</f>
        <v>10,1</v>
      </c>
      <c r="B129" s="23" t="str">
        <f>Source!F39</f>
        <v>1.4-4-19</v>
      </c>
      <c r="C129" s="23" t="s">
        <v>113</v>
      </c>
      <c r="D129" s="24" t="str">
        <f>Source!H39</f>
        <v>кг</v>
      </c>
      <c r="E129" s="10">
        <f>Source!I39</f>
        <v>2.6</v>
      </c>
      <c r="F129" s="26">
        <f>Source!AK39</f>
        <v>17.72</v>
      </c>
      <c r="G129" s="32" t="s">
        <v>3</v>
      </c>
      <c r="H129" s="10">
        <f>Source!AW39</f>
        <v>1</v>
      </c>
      <c r="I129" s="27">
        <f>ROUND((ROUND((Source!AC39*Source!AW39*Source!I39),2)),2)+(ROUND((ROUND(((Source!ET39)*Source!AV39*Source!I39),2)),2)+ROUND((ROUND(((Source!AE39-(Source!EU39))*Source!AV39*Source!I39),2)),2))+ROUND((ROUND((Source!AF39*Source!AV39*Source!I39),2)),2)</f>
        <v>46.07</v>
      </c>
      <c r="J129" s="10">
        <f>IF(Source!BC39&lt;&gt; 0, Source!BC39, 1)</f>
        <v>4.8</v>
      </c>
      <c r="K129" s="27">
        <f>Source!O39</f>
        <v>221.14</v>
      </c>
      <c r="Q129">
        <f>ROUND((Source!DN39/100)*ROUND((ROUND((Source!AF39*Source!AV39*Source!I39),2)),2), 2)</f>
        <v>0</v>
      </c>
      <c r="R129">
        <f>Source!X39</f>
        <v>0</v>
      </c>
      <c r="S129">
        <f>ROUND((Source!DO39/100)*ROUND((ROUND((Source!AF39*Source!AV39*Source!I39),2)),2), 2)</f>
        <v>0</v>
      </c>
      <c r="T129">
        <f>Source!Y39</f>
        <v>0</v>
      </c>
      <c r="U129">
        <f>ROUND((175/100)*ROUND((ROUND((Source!AE39*Source!AV39*Source!I39),2)),2), 2)</f>
        <v>0</v>
      </c>
      <c r="V129">
        <f>ROUND((157/100)*ROUND(ROUND((ROUND((Source!AE39*Source!AV39*Source!I39),2)*Source!BS39),2), 2), 2)</f>
        <v>0</v>
      </c>
      <c r="X129">
        <f>IF(Source!BI39&lt;=1,I129, 0)</f>
        <v>46.07</v>
      </c>
      <c r="Y129">
        <f>IF(Source!BI39=2,I129, 0)</f>
        <v>0</v>
      </c>
      <c r="Z129">
        <f>IF(Source!BI39=3,I129, 0)</f>
        <v>0</v>
      </c>
      <c r="AA129">
        <f>IF(Source!BI39=4,I129, 0)</f>
        <v>0</v>
      </c>
    </row>
    <row r="130" spans="1:38" ht="14.4" x14ac:dyDescent="0.3">
      <c r="A130" s="22"/>
      <c r="B130" s="23"/>
      <c r="C130" s="23" t="s">
        <v>303</v>
      </c>
      <c r="D130" s="24" t="s">
        <v>304</v>
      </c>
      <c r="E130" s="10">
        <f>Source!DN38</f>
        <v>156</v>
      </c>
      <c r="F130" s="26"/>
      <c r="G130" s="25"/>
      <c r="H130" s="10"/>
      <c r="I130" s="27">
        <f>SUM(Q126:Q129)</f>
        <v>68.45</v>
      </c>
      <c r="J130" s="10">
        <f>Source!BZ38</f>
        <v>90</v>
      </c>
      <c r="K130" s="27">
        <f>SUM(R126:R129)</f>
        <v>968.74</v>
      </c>
    </row>
    <row r="131" spans="1:38" ht="14.4" x14ac:dyDescent="0.3">
      <c r="A131" s="22"/>
      <c r="B131" s="23"/>
      <c r="C131" s="23" t="s">
        <v>305</v>
      </c>
      <c r="D131" s="24" t="s">
        <v>304</v>
      </c>
      <c r="E131" s="10">
        <f>Source!DO38</f>
        <v>84</v>
      </c>
      <c r="F131" s="26"/>
      <c r="G131" s="25"/>
      <c r="H131" s="10"/>
      <c r="I131" s="27">
        <f>SUM(S126:S130)</f>
        <v>36.86</v>
      </c>
      <c r="J131" s="10">
        <f>Source!CA38</f>
        <v>41</v>
      </c>
      <c r="K131" s="27">
        <f>SUM(T126:T130)</f>
        <v>441.32</v>
      </c>
    </row>
    <row r="132" spans="1:38" ht="14.4" x14ac:dyDescent="0.3">
      <c r="A132" s="22"/>
      <c r="B132" s="23"/>
      <c r="C132" s="23" t="s">
        <v>307</v>
      </c>
      <c r="D132" s="24" t="s">
        <v>308</v>
      </c>
      <c r="E132" s="10">
        <f>Source!AQ38</f>
        <v>5.25</v>
      </c>
      <c r="F132" s="26"/>
      <c r="G132" s="25" t="str">
        <f>Source!DI38</f>
        <v>)*1,15</v>
      </c>
      <c r="H132" s="10">
        <f>Source!AV38</f>
        <v>1</v>
      </c>
      <c r="I132" s="27">
        <f>Source!U38</f>
        <v>3.9243749999999999</v>
      </c>
      <c r="J132" s="10"/>
      <c r="K132" s="27"/>
    </row>
    <row r="133" spans="1:38" ht="13.8" x14ac:dyDescent="0.25">
      <c r="A133" s="31"/>
      <c r="B133" s="31"/>
      <c r="C133" s="31"/>
      <c r="D133" s="31"/>
      <c r="E133" s="31"/>
      <c r="F133" s="31"/>
      <c r="G133" s="31"/>
      <c r="H133" s="61">
        <f>I127+I128+I130+I131+SUM(I129:I129)</f>
        <v>241.22000000000003</v>
      </c>
      <c r="I133" s="61"/>
      <c r="J133" s="61">
        <f>K127+K128+K130+K131+SUM(K129:K129)</f>
        <v>2936.92</v>
      </c>
      <c r="K133" s="61"/>
      <c r="O133" s="30">
        <f>I127+I128+I130+I131+SUM(I129:I129)</f>
        <v>241.22000000000003</v>
      </c>
      <c r="P133" s="30">
        <f>K127+K128+K130+K131+SUM(K129:K129)</f>
        <v>2936.92</v>
      </c>
      <c r="X133">
        <f>IF(Source!BI38&lt;=1,I127+I128+I130+I131-0, 0)</f>
        <v>195.15000000000003</v>
      </c>
      <c r="Y133">
        <f>IF(Source!BI38=2,I127+I128+I130+I131-0, 0)</f>
        <v>0</v>
      </c>
      <c r="Z133">
        <f>IF(Source!BI38=3,I127+I128+I130+I131-0, 0)</f>
        <v>0</v>
      </c>
      <c r="AA133">
        <f>IF(Source!BI38=4,I127+I128+I130+I131,0)</f>
        <v>0</v>
      </c>
    </row>
    <row r="135" spans="1:38" ht="13.8" x14ac:dyDescent="0.25">
      <c r="A135" s="68" t="str">
        <f>CONCATENATE("Итого по локальной смете: ",IF(Source!G41&lt;&gt;"Новая локальная смета", Source!G41, ""))</f>
        <v>Итого по локальной смете: Благоустройство.</v>
      </c>
      <c r="B135" s="68"/>
      <c r="C135" s="68"/>
      <c r="D135" s="68"/>
      <c r="E135" s="68"/>
      <c r="F135" s="68"/>
      <c r="G135" s="68"/>
      <c r="H135" s="66">
        <f>SUM(O33:O134)</f>
        <v>8408.51</v>
      </c>
      <c r="I135" s="67"/>
      <c r="J135" s="66">
        <f>SUM(P33:P134)</f>
        <v>104205.90000000001</v>
      </c>
      <c r="K135" s="67"/>
    </row>
    <row r="136" spans="1:38" hidden="1" x14ac:dyDescent="0.25">
      <c r="A136" t="s">
        <v>310</v>
      </c>
      <c r="I136">
        <f>SUM(AC33:AC135)</f>
        <v>0</v>
      </c>
      <c r="J136">
        <f>SUM(AD33:AD135)</f>
        <v>0</v>
      </c>
    </row>
    <row r="137" spans="1:38" hidden="1" x14ac:dyDescent="0.25">
      <c r="A137" t="s">
        <v>311</v>
      </c>
      <c r="I137">
        <f>SUM(AE33:AE136)</f>
        <v>0</v>
      </c>
      <c r="J137">
        <f>SUM(AF33:AF136)</f>
        <v>0</v>
      </c>
    </row>
    <row r="139" spans="1:38" ht="13.8" x14ac:dyDescent="0.25">
      <c r="A139" s="68" t="str">
        <f>CONCATENATE("Итого по смете: ",IF(Source!G70&lt;&gt;"Новый объект", Source!G70, ""))</f>
        <v>Итого по смете: КЛ-0,4 от ул.Центральная, д.6 до ул.Центральная, д.8.  Благоустройство.</v>
      </c>
      <c r="B139" s="68"/>
      <c r="C139" s="68"/>
      <c r="D139" s="68"/>
      <c r="E139" s="68"/>
      <c r="F139" s="68"/>
      <c r="G139" s="68"/>
      <c r="H139" s="66">
        <f>SUM(O1:O138)</f>
        <v>8408.51</v>
      </c>
      <c r="I139" s="67"/>
      <c r="J139" s="66">
        <f>SUM(P1:P138)</f>
        <v>104205.90000000001</v>
      </c>
      <c r="K139" s="67"/>
      <c r="AL139" s="34" t="str">
        <f>CONCATENATE("Итого по смете: ",IF(Source!G70&lt;&gt;"Новый объект", Source!G70, ""))</f>
        <v>Итого по смете: КЛ-0,4 от ул.Центральная, д.6 до ул.Центральная, д.8.  Благоустройство.</v>
      </c>
    </row>
    <row r="140" spans="1:38" hidden="1" x14ac:dyDescent="0.25">
      <c r="A140" t="s">
        <v>310</v>
      </c>
      <c r="I140">
        <f>SUM(AC1:AC139)</f>
        <v>0</v>
      </c>
      <c r="J140">
        <f>SUM(AD1:AD139)</f>
        <v>0</v>
      </c>
    </row>
    <row r="141" spans="1:38" hidden="1" x14ac:dyDescent="0.25">
      <c r="A141" t="s">
        <v>311</v>
      </c>
      <c r="I141">
        <f>SUM(AE1:AE140)</f>
        <v>0</v>
      </c>
      <c r="J141">
        <f>SUM(AF1:AF140)</f>
        <v>0</v>
      </c>
    </row>
    <row r="142" spans="1:38" ht="13.8" x14ac:dyDescent="0.25">
      <c r="C142" s="60" t="str">
        <f>Source!H98</f>
        <v>Итого</v>
      </c>
      <c r="D142" s="60"/>
      <c r="E142" s="60"/>
      <c r="F142" s="60"/>
      <c r="G142" s="60"/>
      <c r="H142" s="60"/>
      <c r="I142" s="60"/>
      <c r="J142" s="69">
        <f>IF(Source!F98=0, "", Source!F98)</f>
        <v>104205.9</v>
      </c>
      <c r="K142" s="69"/>
    </row>
    <row r="143" spans="1:38" ht="13.8" x14ac:dyDescent="0.25">
      <c r="C143" s="60" t="str">
        <f>Source!H99</f>
        <v>НДС 20%</v>
      </c>
      <c r="D143" s="60"/>
      <c r="E143" s="60"/>
      <c r="F143" s="60"/>
      <c r="G143" s="60"/>
      <c r="H143" s="60"/>
      <c r="I143" s="60"/>
      <c r="J143" s="69">
        <f>IF(Source!F99=0, "", Source!F99)</f>
        <v>20841.18</v>
      </c>
      <c r="K143" s="69"/>
    </row>
    <row r="144" spans="1:38" s="50" customFormat="1" ht="24" customHeight="1" x14ac:dyDescent="0.25">
      <c r="C144" s="68" t="str">
        <f>Source!H100</f>
        <v>Итого с НДС</v>
      </c>
      <c r="D144" s="68"/>
      <c r="E144" s="68"/>
      <c r="F144" s="68"/>
      <c r="G144" s="68"/>
      <c r="H144" s="68"/>
      <c r="I144" s="68"/>
      <c r="J144" s="66">
        <f>IF(Source!F100=0, "", Source!F100)</f>
        <v>125047.08</v>
      </c>
      <c r="K144" s="66"/>
    </row>
    <row r="147" spans="1:11" ht="13.8" x14ac:dyDescent="0.25">
      <c r="A147" s="70" t="s">
        <v>313</v>
      </c>
      <c r="B147" s="70"/>
      <c r="C147" s="35" t="str">
        <f>IF(Source!AC12&lt;&gt;"", Source!AC12," ")</f>
        <v>Зам.начальника ПТО</v>
      </c>
      <c r="D147" s="35"/>
      <c r="E147" s="35"/>
      <c r="F147" s="35"/>
      <c r="G147" s="35"/>
      <c r="H147" s="11" t="str">
        <f>IF(Source!AB12&lt;&gt;"", Source!AB12," ")</f>
        <v>Алиева И.Е.</v>
      </c>
      <c r="I147" s="11"/>
      <c r="J147" s="11"/>
      <c r="K147" s="11"/>
    </row>
    <row r="148" spans="1:11" ht="13.8" x14ac:dyDescent="0.25">
      <c r="A148" s="11"/>
      <c r="B148" s="11"/>
      <c r="C148" s="71" t="s">
        <v>314</v>
      </c>
      <c r="D148" s="71"/>
      <c r="E148" s="71"/>
      <c r="F148" s="71"/>
      <c r="G148" s="71"/>
      <c r="H148" s="11"/>
      <c r="I148" s="11"/>
      <c r="J148" s="11"/>
      <c r="K148" s="11"/>
    </row>
    <row r="149" spans="1:11" ht="13.8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3.8" x14ac:dyDescent="0.25">
      <c r="A150" s="70" t="s">
        <v>315</v>
      </c>
      <c r="B150" s="70"/>
      <c r="C150" s="35" t="str">
        <f>IF(Source!AE12&lt;&gt;"", Source!AE12," ")</f>
        <v>Главный инженер</v>
      </c>
      <c r="D150" s="35"/>
      <c r="E150" s="35"/>
      <c r="F150" s="35"/>
      <c r="G150" s="35"/>
      <c r="H150" s="11" t="str">
        <f>IF(Source!AD12&lt;&gt;"", Source!AD12," ")</f>
        <v>Алексеев Е.В.</v>
      </c>
      <c r="I150" s="11"/>
      <c r="J150" s="11"/>
      <c r="K150" s="11"/>
    </row>
    <row r="151" spans="1:11" ht="13.8" x14ac:dyDescent="0.25">
      <c r="A151" s="11"/>
      <c r="B151" s="11"/>
      <c r="C151" s="71" t="s">
        <v>314</v>
      </c>
      <c r="D151" s="71"/>
      <c r="E151" s="71"/>
      <c r="F151" s="71"/>
      <c r="G151" s="71"/>
      <c r="H151" s="11"/>
      <c r="I151" s="11"/>
      <c r="J151" s="11"/>
      <c r="K151" s="11"/>
    </row>
  </sheetData>
  <mergeCells count="59">
    <mergeCell ref="A147:B147"/>
    <mergeCell ref="C148:G148"/>
    <mergeCell ref="A150:B150"/>
    <mergeCell ref="C151:G151"/>
    <mergeCell ref="C142:I142"/>
    <mergeCell ref="J142:K142"/>
    <mergeCell ref="C143:I143"/>
    <mergeCell ref="J143:K143"/>
    <mergeCell ref="C144:I144"/>
    <mergeCell ref="J144:K144"/>
    <mergeCell ref="J139:K139"/>
    <mergeCell ref="H139:I139"/>
    <mergeCell ref="A139:G139"/>
    <mergeCell ref="J105:K105"/>
    <mergeCell ref="H105:I105"/>
    <mergeCell ref="J117:K117"/>
    <mergeCell ref="H117:I117"/>
    <mergeCell ref="J125:K125"/>
    <mergeCell ref="H125:I125"/>
    <mergeCell ref="J133:K133"/>
    <mergeCell ref="H133:I133"/>
    <mergeCell ref="J135:K135"/>
    <mergeCell ref="H135:I135"/>
    <mergeCell ref="A135:G135"/>
    <mergeCell ref="J77:K77"/>
    <mergeCell ref="H77:I77"/>
    <mergeCell ref="J87:K87"/>
    <mergeCell ref="H87:I87"/>
    <mergeCell ref="J98:K98"/>
    <mergeCell ref="H98:I98"/>
    <mergeCell ref="J67:K67"/>
    <mergeCell ref="H67:I67"/>
    <mergeCell ref="F23:H23"/>
    <mergeCell ref="F24:H24"/>
    <mergeCell ref="F25:H25"/>
    <mergeCell ref="F26:H26"/>
    <mergeCell ref="F28:H28"/>
    <mergeCell ref="A29:K29"/>
    <mergeCell ref="A33:K33"/>
    <mergeCell ref="J43:K43"/>
    <mergeCell ref="H43:I43"/>
    <mergeCell ref="J55:K55"/>
    <mergeCell ref="H55:I55"/>
    <mergeCell ref="F22:H22"/>
    <mergeCell ref="B7:E7"/>
    <mergeCell ref="G7:K7"/>
    <mergeCell ref="A11:K11"/>
    <mergeCell ref="A12:K12"/>
    <mergeCell ref="A14:K14"/>
    <mergeCell ref="A16:K16"/>
    <mergeCell ref="A17:K17"/>
    <mergeCell ref="A19:K19"/>
    <mergeCell ref="F21:H21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64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6"/>
  <sheetViews>
    <sheetView zoomScaleNormal="100" workbookViewId="0"/>
  </sheetViews>
  <sheetFormatPr defaultRowHeight="13.2" x14ac:dyDescent="0.25"/>
  <cols>
    <col min="1" max="2" width="5.6640625" customWidth="1"/>
    <col min="3" max="3" width="11.6640625" customWidth="1"/>
    <col min="4" max="4" width="40.6640625" customWidth="1"/>
    <col min="5" max="7" width="11.6640625" customWidth="1"/>
    <col min="8" max="8" width="12.6640625" customWidth="1"/>
    <col min="9" max="9" width="10.6640625" customWidth="1"/>
    <col min="10" max="12" width="12.6640625" customWidth="1"/>
    <col min="15" max="35" width="0" hidden="1" customWidth="1"/>
    <col min="36" max="36" width="99.6640625" hidden="1" customWidth="1"/>
    <col min="37" max="37" width="0" hidden="1" customWidth="1"/>
    <col min="38" max="38" width="109.6640625" hidden="1" customWidth="1"/>
    <col min="39" max="42" width="0" hidden="1" customWidth="1"/>
  </cols>
  <sheetData>
    <row r="1" spans="1:36" x14ac:dyDescent="0.25">
      <c r="A1" s="9" t="str">
        <f>Source!B1</f>
        <v>Smeta.RU  (495) 974-1589</v>
      </c>
    </row>
    <row r="2" spans="1:36" ht="13.8" x14ac:dyDescent="0.25">
      <c r="A2" s="11"/>
      <c r="B2" s="11"/>
      <c r="C2" s="33"/>
      <c r="D2" s="33"/>
      <c r="E2" s="33"/>
      <c r="F2" s="11"/>
      <c r="G2" s="11"/>
      <c r="H2" s="11"/>
      <c r="I2" s="72" t="s">
        <v>316</v>
      </c>
      <c r="J2" s="72"/>
      <c r="K2" s="72"/>
      <c r="L2" s="72"/>
    </row>
    <row r="3" spans="1:36" ht="13.8" x14ac:dyDescent="0.25">
      <c r="A3" s="11"/>
      <c r="B3" s="11"/>
      <c r="C3" s="11"/>
      <c r="D3" s="11"/>
      <c r="E3" s="11"/>
      <c r="F3" s="11"/>
      <c r="G3" s="11"/>
      <c r="H3" s="11"/>
      <c r="I3" s="72" t="s">
        <v>317</v>
      </c>
      <c r="J3" s="72"/>
      <c r="K3" s="72"/>
      <c r="L3" s="72"/>
    </row>
    <row r="4" spans="1:36" ht="13.8" x14ac:dyDescent="0.25">
      <c r="A4" s="11"/>
      <c r="B4" s="11"/>
      <c r="C4" s="11"/>
      <c r="D4" s="11"/>
      <c r="E4" s="11"/>
      <c r="F4" s="11"/>
      <c r="G4" s="11"/>
      <c r="H4" s="11"/>
      <c r="I4" s="72" t="s">
        <v>318</v>
      </c>
      <c r="J4" s="72"/>
      <c r="K4" s="72"/>
      <c r="L4" s="72"/>
    </row>
    <row r="5" spans="1:36" ht="13.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3.8" x14ac:dyDescent="0.25">
      <c r="A6" s="11"/>
      <c r="B6" s="11"/>
      <c r="C6" s="11"/>
      <c r="D6" s="11"/>
      <c r="E6" s="11"/>
      <c r="F6" s="11"/>
      <c r="G6" s="11"/>
      <c r="H6" s="11"/>
      <c r="I6" s="11"/>
      <c r="J6" s="73" t="s">
        <v>319</v>
      </c>
      <c r="K6" s="73"/>
      <c r="L6" s="73"/>
    </row>
    <row r="7" spans="1:36" ht="13.8" x14ac:dyDescent="0.25">
      <c r="A7" s="11"/>
      <c r="B7" s="11"/>
      <c r="C7" s="11"/>
      <c r="D7" s="11"/>
      <c r="E7" s="11"/>
      <c r="F7" s="11"/>
      <c r="G7" s="11"/>
      <c r="H7" s="11"/>
      <c r="I7" s="10" t="s">
        <v>320</v>
      </c>
      <c r="J7" s="74" t="s">
        <v>321</v>
      </c>
      <c r="K7" s="74"/>
      <c r="L7" s="74"/>
    </row>
    <row r="8" spans="1:36" ht="13.8" x14ac:dyDescent="0.25">
      <c r="A8" s="11"/>
      <c r="B8" s="11"/>
      <c r="C8" s="11"/>
      <c r="D8" s="11"/>
      <c r="E8" s="11"/>
      <c r="F8" s="11"/>
      <c r="G8" s="11"/>
      <c r="H8" s="11"/>
      <c r="I8" s="11"/>
      <c r="J8" s="73" t="str">
        <f>IF(Source!AT15 &lt;&gt; "", Source!AT15, "")</f>
        <v/>
      </c>
      <c r="K8" s="73"/>
      <c r="L8" s="73"/>
    </row>
    <row r="9" spans="1:36" ht="13.8" x14ac:dyDescent="0.25">
      <c r="A9" s="11" t="s">
        <v>322</v>
      </c>
      <c r="B9" s="11"/>
      <c r="C9" s="64" t="str">
        <f>IF(Source!BA15 &lt;&gt; "", Source!BA15, IF(Source!AU15 &lt;&gt; "", Source!AU15, ""))</f>
        <v/>
      </c>
      <c r="D9" s="64"/>
      <c r="E9" s="64"/>
      <c r="F9" s="64"/>
      <c r="G9" s="64"/>
      <c r="H9" s="64"/>
      <c r="I9" s="10" t="s">
        <v>323</v>
      </c>
      <c r="J9" s="73"/>
      <c r="K9" s="73"/>
      <c r="L9" s="73"/>
    </row>
    <row r="10" spans="1:36" ht="13.8" x14ac:dyDescent="0.25">
      <c r="A10" s="11"/>
      <c r="B10" s="11"/>
      <c r="C10" s="71" t="s">
        <v>324</v>
      </c>
      <c r="D10" s="71"/>
      <c r="E10" s="71"/>
      <c r="F10" s="71"/>
      <c r="G10" s="71"/>
      <c r="H10" s="71"/>
      <c r="I10" s="11"/>
      <c r="J10" s="73" t="str">
        <f>IF(Source!AK15 &lt;&gt; "", Source!AK15, "")</f>
        <v/>
      </c>
      <c r="K10" s="73"/>
      <c r="L10" s="73"/>
    </row>
    <row r="11" spans="1:36" ht="13.8" x14ac:dyDescent="0.25">
      <c r="A11" s="11" t="s">
        <v>325</v>
      </c>
      <c r="B11" s="11"/>
      <c r="C11" s="64" t="str">
        <f>IF(Source!AX12&lt;&gt; "", Source!AX12, IF(Source!AJ12 &lt;&gt; "", Source!AJ12, ""))</f>
        <v>МУП "Троицкая электросеть", г. Москва, г. Троицк, ул. Лесная, д. 6.</v>
      </c>
      <c r="D11" s="64"/>
      <c r="E11" s="64"/>
      <c r="F11" s="64"/>
      <c r="G11" s="64"/>
      <c r="H11" s="64"/>
      <c r="I11" s="10" t="s">
        <v>323</v>
      </c>
      <c r="J11" s="73"/>
      <c r="K11" s="73"/>
      <c r="L11" s="73"/>
      <c r="AJ11" s="4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3.8" x14ac:dyDescent="0.25">
      <c r="A12" s="11"/>
      <c r="B12" s="11"/>
      <c r="C12" s="71" t="s">
        <v>324</v>
      </c>
      <c r="D12" s="71"/>
      <c r="E12" s="71"/>
      <c r="F12" s="71"/>
      <c r="G12" s="71"/>
      <c r="H12" s="71"/>
      <c r="I12" s="11"/>
      <c r="J12" s="73" t="str">
        <f>IF(Source!AO15 &lt;&gt; "", Source!AO15, "")</f>
        <v/>
      </c>
      <c r="K12" s="73"/>
      <c r="L12" s="73"/>
    </row>
    <row r="13" spans="1:36" ht="13.8" x14ac:dyDescent="0.25">
      <c r="A13" s="11" t="s">
        <v>326</v>
      </c>
      <c r="B13" s="11"/>
      <c r="C13" s="64" t="str">
        <f>IF(Source!AY12&lt;&gt; "", Source!AY12, IF(Source!AN12 &lt;&gt; "", Source!AN12, ""))</f>
        <v/>
      </c>
      <c r="D13" s="64"/>
      <c r="E13" s="64"/>
      <c r="F13" s="64"/>
      <c r="G13" s="64"/>
      <c r="H13" s="64"/>
      <c r="I13" s="10" t="s">
        <v>323</v>
      </c>
      <c r="J13" s="73"/>
      <c r="K13" s="73"/>
      <c r="L13" s="73"/>
    </row>
    <row r="14" spans="1:36" ht="13.8" x14ac:dyDescent="0.25">
      <c r="A14" s="11"/>
      <c r="B14" s="11"/>
      <c r="C14" s="71" t="s">
        <v>324</v>
      </c>
      <c r="D14" s="71"/>
      <c r="E14" s="71"/>
      <c r="F14" s="71"/>
      <c r="G14" s="71"/>
      <c r="H14" s="71"/>
      <c r="I14" s="11"/>
      <c r="J14" s="73" t="str">
        <f>IF(Source!CO15 &lt;&gt; "", Source!CO15, "")</f>
        <v/>
      </c>
      <c r="K14" s="73"/>
      <c r="L14" s="73"/>
    </row>
    <row r="15" spans="1:36" ht="13.8" x14ac:dyDescent="0.25">
      <c r="A15" s="11" t="s">
        <v>327</v>
      </c>
      <c r="B15" s="11"/>
      <c r="C15" s="64" t="s">
        <v>4</v>
      </c>
      <c r="D15" s="64"/>
      <c r="E15" s="64"/>
      <c r="F15" s="64"/>
      <c r="G15" s="64"/>
      <c r="H15" s="64"/>
      <c r="I15" s="11"/>
      <c r="J15" s="73"/>
      <c r="K15" s="73"/>
      <c r="L15" s="73"/>
      <c r="AJ15" s="42" t="s">
        <v>4</v>
      </c>
    </row>
    <row r="16" spans="1:36" ht="13.8" x14ac:dyDescent="0.25">
      <c r="A16" s="11"/>
      <c r="B16" s="11"/>
      <c r="C16" s="71" t="s">
        <v>328</v>
      </c>
      <c r="D16" s="71"/>
      <c r="E16" s="71"/>
      <c r="F16" s="71"/>
      <c r="G16" s="71"/>
      <c r="H16" s="71"/>
      <c r="I16" s="11"/>
      <c r="J16" s="73" t="str">
        <f>IF(Source!CP15 &lt;&gt; "", Source!CP15, "")</f>
        <v/>
      </c>
      <c r="K16" s="73"/>
      <c r="L16" s="73"/>
    </row>
    <row r="17" spans="1:36" ht="13.8" x14ac:dyDescent="0.25">
      <c r="A17" s="11" t="s">
        <v>329</v>
      </c>
      <c r="B17" s="11"/>
      <c r="C17" s="53" t="str">
        <f>IF(Source!G12&lt;&gt;"Новый объект", Source!G12, "")</f>
        <v>КЛ-0,4 от ул.Центральная, д.6 до ул.Центральная, д.8.  Благоустройство.</v>
      </c>
      <c r="D17" s="53"/>
      <c r="E17" s="53"/>
      <c r="F17" s="53"/>
      <c r="G17" s="53"/>
      <c r="H17" s="53"/>
      <c r="I17" s="11"/>
      <c r="J17" s="73"/>
      <c r="K17" s="73"/>
      <c r="L17" s="73"/>
      <c r="AJ17" s="43" t="str">
        <f>IF(Source!G12&lt;&gt;"Новый объект", Source!G12, "")</f>
        <v>КЛ-0,4 от ул.Центральная, д.6 до ул.Центральная, д.8.  Благоустройство.</v>
      </c>
    </row>
    <row r="18" spans="1:36" ht="13.8" x14ac:dyDescent="0.25">
      <c r="A18" s="11"/>
      <c r="B18" s="11"/>
      <c r="C18" s="71" t="s">
        <v>330</v>
      </c>
      <c r="D18" s="71"/>
      <c r="E18" s="71"/>
      <c r="F18" s="71"/>
      <c r="G18" s="71"/>
      <c r="H18" s="71"/>
      <c r="I18" s="11"/>
      <c r="J18" s="11"/>
      <c r="K18" s="11"/>
      <c r="L18" s="11"/>
    </row>
    <row r="19" spans="1:36" ht="13.8" x14ac:dyDescent="0.25">
      <c r="A19" s="11"/>
      <c r="B19" s="11"/>
      <c r="C19" s="11"/>
      <c r="D19" s="11"/>
      <c r="E19" s="11"/>
      <c r="F19" s="11"/>
      <c r="G19" s="76" t="s">
        <v>331</v>
      </c>
      <c r="H19" s="76"/>
      <c r="I19" s="77"/>
      <c r="J19" s="73" t="str">
        <f>IF(Source!CQ15 &lt;&gt; "", Source!CQ15, "")</f>
        <v/>
      </c>
      <c r="K19" s="73"/>
      <c r="L19" s="73"/>
    </row>
    <row r="20" spans="1:36" ht="13.8" x14ac:dyDescent="0.25">
      <c r="A20" s="11"/>
      <c r="B20" s="11"/>
      <c r="C20" s="11"/>
      <c r="D20" s="11"/>
      <c r="E20" s="11"/>
      <c r="F20" s="11"/>
      <c r="G20" s="76" t="s">
        <v>332</v>
      </c>
      <c r="H20" s="78"/>
      <c r="I20" s="36" t="s">
        <v>333</v>
      </c>
      <c r="J20" s="73" t="str">
        <f>IF(Source!CR15 &lt;&gt; "", Source!CR15, "")</f>
        <v/>
      </c>
      <c r="K20" s="73"/>
      <c r="L20" s="73"/>
    </row>
    <row r="21" spans="1:36" ht="13.8" x14ac:dyDescent="0.25">
      <c r="A21" s="11"/>
      <c r="B21" s="11"/>
      <c r="C21" s="11"/>
      <c r="D21" s="11"/>
      <c r="E21" s="11"/>
      <c r="F21" s="11"/>
      <c r="G21" s="11"/>
      <c r="H21" s="11"/>
      <c r="I21" s="37" t="s">
        <v>334</v>
      </c>
      <c r="J21" s="79" t="str">
        <f>IF(Source!CS15 &lt;&gt; 0, Source!CS15, "")</f>
        <v/>
      </c>
      <c r="K21" s="79"/>
      <c r="L21" s="79"/>
    </row>
    <row r="22" spans="1:36" ht="13.8" x14ac:dyDescent="0.25">
      <c r="A22" s="11"/>
      <c r="B22" s="11"/>
      <c r="C22" s="11"/>
      <c r="D22" s="11"/>
      <c r="E22" s="11"/>
      <c r="F22" s="11"/>
      <c r="G22" s="11"/>
      <c r="H22" s="11"/>
      <c r="I22" s="10" t="s">
        <v>335</v>
      </c>
      <c r="J22" s="73" t="str">
        <f>IF(Source!CT15 &lt;&gt; "", Source!CT15, "")</f>
        <v/>
      </c>
      <c r="K22" s="73"/>
      <c r="L22" s="73"/>
    </row>
    <row r="23" spans="1:36" ht="13.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3.8" x14ac:dyDescent="0.25">
      <c r="A24" s="11"/>
      <c r="B24" s="11"/>
      <c r="C24" s="11"/>
      <c r="D24" s="11"/>
      <c r="E24" s="11"/>
      <c r="F24" s="11"/>
      <c r="G24" s="80" t="s">
        <v>336</v>
      </c>
      <c r="H24" s="82" t="s">
        <v>337</v>
      </c>
      <c r="I24" s="82" t="s">
        <v>338</v>
      </c>
      <c r="J24" s="84"/>
      <c r="K24" s="11"/>
      <c r="L24" s="11"/>
    </row>
    <row r="25" spans="1:36" ht="13.8" x14ac:dyDescent="0.25">
      <c r="A25" s="11"/>
      <c r="B25" s="11"/>
      <c r="C25" s="11"/>
      <c r="D25" s="11"/>
      <c r="E25" s="11"/>
      <c r="F25" s="11"/>
      <c r="G25" s="81"/>
      <c r="H25" s="83"/>
      <c r="I25" s="38" t="s">
        <v>339</v>
      </c>
      <c r="J25" s="39" t="s">
        <v>340</v>
      </c>
      <c r="K25" s="11"/>
      <c r="L25" s="11"/>
    </row>
    <row r="26" spans="1:36" ht="13.8" x14ac:dyDescent="0.25">
      <c r="A26" s="11"/>
      <c r="B26" s="11"/>
      <c r="C26" s="11"/>
      <c r="D26" s="11"/>
      <c r="E26" s="11"/>
      <c r="F26" s="11"/>
      <c r="G26" s="37" t="str">
        <f>IF(Source!CN15 &lt;&gt; "", Source!CN15, "")</f>
        <v/>
      </c>
      <c r="H26" s="40">
        <v>44173.383356481485</v>
      </c>
      <c r="I26" s="37"/>
      <c r="J26" s="41"/>
      <c r="K26" s="11"/>
      <c r="L26" s="11"/>
    </row>
    <row r="27" spans="1:36" ht="13.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36" ht="17.399999999999999" x14ac:dyDescent="0.3">
      <c r="A28" s="75" t="s">
        <v>341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36" ht="17.399999999999999" x14ac:dyDescent="0.3">
      <c r="A29" s="75" t="s">
        <v>342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3.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36" ht="13.8" x14ac:dyDescent="0.25">
      <c r="A31" s="11" t="s">
        <v>343</v>
      </c>
      <c r="B31" s="11"/>
      <c r="C31" s="11"/>
      <c r="D31" s="11"/>
      <c r="E31" s="11"/>
      <c r="F31" s="11"/>
      <c r="G31" s="11"/>
      <c r="H31" s="85">
        <f>(Source!F68/1000)</f>
        <v>104.2059</v>
      </c>
      <c r="I31" s="85"/>
      <c r="J31" s="11" t="s">
        <v>344</v>
      </c>
      <c r="K31" s="11"/>
      <c r="L31" s="11"/>
    </row>
    <row r="32" spans="1:36" ht="13.8" x14ac:dyDescent="0.25">
      <c r="A32" s="64" t="s">
        <v>299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27" ht="13.8" x14ac:dyDescent="0.25">
      <c r="A33" s="86" t="s">
        <v>345</v>
      </c>
      <c r="B33" s="86"/>
      <c r="C33" s="86" t="s">
        <v>289</v>
      </c>
      <c r="D33" s="86" t="s">
        <v>290</v>
      </c>
      <c r="E33" s="86" t="s">
        <v>291</v>
      </c>
      <c r="F33" s="86" t="s">
        <v>292</v>
      </c>
      <c r="G33" s="86" t="s">
        <v>293</v>
      </c>
      <c r="H33" s="87" t="s">
        <v>294</v>
      </c>
      <c r="I33" s="87" t="s">
        <v>295</v>
      </c>
      <c r="J33" s="86" t="s">
        <v>296</v>
      </c>
      <c r="K33" s="86" t="s">
        <v>297</v>
      </c>
      <c r="L33" s="86" t="s">
        <v>298</v>
      </c>
    </row>
    <row r="34" spans="1:27" x14ac:dyDescent="0.25">
      <c r="A34" s="87" t="s">
        <v>346</v>
      </c>
      <c r="B34" s="87" t="s">
        <v>347</v>
      </c>
      <c r="C34" s="86"/>
      <c r="D34" s="86"/>
      <c r="E34" s="86"/>
      <c r="F34" s="86"/>
      <c r="G34" s="86"/>
      <c r="H34" s="88"/>
      <c r="I34" s="88"/>
      <c r="J34" s="86"/>
      <c r="K34" s="86"/>
      <c r="L34" s="86"/>
    </row>
    <row r="35" spans="1:27" x14ac:dyDescent="0.25">
      <c r="A35" s="88"/>
      <c r="B35" s="88"/>
      <c r="C35" s="86"/>
      <c r="D35" s="86"/>
      <c r="E35" s="86"/>
      <c r="F35" s="86"/>
      <c r="G35" s="86"/>
      <c r="H35" s="88"/>
      <c r="I35" s="88"/>
      <c r="J35" s="86"/>
      <c r="K35" s="86"/>
      <c r="L35" s="86"/>
    </row>
    <row r="36" spans="1:27" ht="20.100000000000001" customHeight="1" x14ac:dyDescent="0.25">
      <c r="A36" s="88"/>
      <c r="B36" s="88"/>
      <c r="C36" s="86"/>
      <c r="D36" s="86"/>
      <c r="E36" s="86"/>
      <c r="F36" s="86"/>
      <c r="G36" s="86"/>
      <c r="H36" s="88"/>
      <c r="I36" s="88"/>
      <c r="J36" s="86"/>
      <c r="K36" s="86"/>
      <c r="L36" s="86"/>
    </row>
    <row r="37" spans="1:27" ht="20.100000000000001" customHeight="1" x14ac:dyDescent="0.25">
      <c r="A37" s="89"/>
      <c r="B37" s="89"/>
      <c r="C37" s="86"/>
      <c r="D37" s="86"/>
      <c r="E37" s="86"/>
      <c r="F37" s="86"/>
      <c r="G37" s="86"/>
      <c r="H37" s="89"/>
      <c r="I37" s="89"/>
      <c r="J37" s="86"/>
      <c r="K37" s="86"/>
      <c r="L37" s="86"/>
    </row>
    <row r="38" spans="1:27" ht="13.8" x14ac:dyDescent="0.25">
      <c r="A38" s="20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20">
        <v>9</v>
      </c>
      <c r="J38" s="20">
        <v>10</v>
      </c>
      <c r="K38" s="20">
        <v>11</v>
      </c>
      <c r="L38" s="20">
        <v>12</v>
      </c>
    </row>
    <row r="39" spans="1:27" ht="27.6" x14ac:dyDescent="0.3">
      <c r="A39" s="22">
        <v>1</v>
      </c>
      <c r="B39" s="22" t="str">
        <f>Source!E24</f>
        <v>1</v>
      </c>
      <c r="C39" s="23" t="str">
        <f>Source!F24</f>
        <v>6.68-51-4</v>
      </c>
      <c r="D39" s="23" t="s">
        <v>23</v>
      </c>
      <c r="E39" s="24" t="str">
        <f>Source!H24</f>
        <v>100 м3</v>
      </c>
      <c r="F39" s="10">
        <f>Source!I24</f>
        <v>1.1999999999999999E-3</v>
      </c>
      <c r="G39" s="26"/>
      <c r="H39" s="25"/>
      <c r="I39" s="10"/>
      <c r="J39" s="27"/>
      <c r="K39" s="10"/>
      <c r="L39" s="27"/>
      <c r="Q39">
        <f>ROUND((Source!DN24/100)*ROUND((ROUND((Source!AF24*Source!AV24*Source!I24),2)),2), 2)</f>
        <v>2.12</v>
      </c>
      <c r="R39">
        <f>Source!X24</f>
        <v>44.2</v>
      </c>
      <c r="S39">
        <f>ROUND((Source!DO24/100)*ROUND((ROUND((Source!AF24*Source!AV24*Source!I24),2)),2), 2)</f>
        <v>1.46</v>
      </c>
      <c r="T39">
        <f>Source!Y24</f>
        <v>26.65</v>
      </c>
      <c r="U39">
        <f>ROUND((175/100)*ROUND((ROUND((Source!AE24*Source!AV24*Source!I24),2)),2), 2)</f>
        <v>2.0099999999999998</v>
      </c>
      <c r="V39">
        <f>ROUND((157/100)*ROUND(ROUND((ROUND((Source!AE24*Source!AV24*Source!I24),2)*Source!BS24),2), 2), 2)</f>
        <v>44.29</v>
      </c>
    </row>
    <row r="40" spans="1:27" x14ac:dyDescent="0.25">
      <c r="D40" s="28" t="str">
        <f>"Объем: "&amp;Source!I24&amp;"=(2*"&amp;"0,6*"&amp;"0,05*"&amp;"2)/"&amp;"100"</f>
        <v>Объем: 0,0012=(2*0,6*0,05*2)/100</v>
      </c>
    </row>
    <row r="41" spans="1:27" ht="14.4" x14ac:dyDescent="0.3">
      <c r="A41" s="22"/>
      <c r="B41" s="22"/>
      <c r="C41" s="23"/>
      <c r="D41" s="23" t="s">
        <v>300</v>
      </c>
      <c r="E41" s="24"/>
      <c r="F41" s="10"/>
      <c r="G41" s="26">
        <f>Source!AO24</f>
        <v>1687.95</v>
      </c>
      <c r="H41" s="25" t="str">
        <f>Source!DG24</f>
        <v>)*1,25</v>
      </c>
      <c r="I41" s="10">
        <f>Source!AV24</f>
        <v>1.0469999999999999</v>
      </c>
      <c r="J41" s="27">
        <f>ROUND((ROUND((Source!AF24*Source!AV24*Source!I24),2)),2)</f>
        <v>2.65</v>
      </c>
      <c r="K41" s="10">
        <f>IF(Source!BA24&lt;&gt; 0, Source!BA24, 1)</f>
        <v>24.53</v>
      </c>
      <c r="L41" s="27">
        <f>Source!S24</f>
        <v>65</v>
      </c>
      <c r="W41">
        <f>J41</f>
        <v>2.65</v>
      </c>
    </row>
    <row r="42" spans="1:27" ht="14.4" x14ac:dyDescent="0.3">
      <c r="A42" s="22"/>
      <c r="B42" s="22"/>
      <c r="C42" s="23"/>
      <c r="D42" s="23" t="s">
        <v>301</v>
      </c>
      <c r="E42" s="24"/>
      <c r="F42" s="10"/>
      <c r="G42" s="26">
        <f>Source!AM24</f>
        <v>2713.55</v>
      </c>
      <c r="H42" s="25" t="str">
        <f>Source!DE24</f>
        <v>)*1,25</v>
      </c>
      <c r="I42" s="10">
        <f>Source!AV24</f>
        <v>1.0469999999999999</v>
      </c>
      <c r="J42" s="27">
        <f>(ROUND((ROUND((((Source!ET24*1.25))*Source!AV24*Source!I24),2)),2)+ROUND((ROUND(((Source!AE24-((Source!EU24*1.25)))*Source!AV24*Source!I24),2)),2))</f>
        <v>4.26</v>
      </c>
      <c r="K42" s="10">
        <f>IF(Source!BB24&lt;&gt; 0, Source!BB24, 1)</f>
        <v>11.14</v>
      </c>
      <c r="L42" s="27">
        <f>Source!Q24</f>
        <v>47.46</v>
      </c>
    </row>
    <row r="43" spans="1:27" ht="14.4" x14ac:dyDescent="0.3">
      <c r="A43" s="22"/>
      <c r="B43" s="22"/>
      <c r="C43" s="23"/>
      <c r="D43" s="23" t="s">
        <v>302</v>
      </c>
      <c r="E43" s="24"/>
      <c r="F43" s="10"/>
      <c r="G43" s="26">
        <f>Source!AN24</f>
        <v>735.23</v>
      </c>
      <c r="H43" s="25" t="str">
        <f>Source!DF24</f>
        <v>)*1,25</v>
      </c>
      <c r="I43" s="10">
        <f>Source!AV24</f>
        <v>1.0469999999999999</v>
      </c>
      <c r="J43" s="29">
        <f>ROUND((ROUND((Source!AE24*Source!AV24*Source!I24),2)),2)</f>
        <v>1.1499999999999999</v>
      </c>
      <c r="K43" s="10">
        <f>IF(Source!BS24&lt;&gt; 0, Source!BS24, 1)</f>
        <v>24.53</v>
      </c>
      <c r="L43" s="29">
        <f>Source!R24</f>
        <v>28.21</v>
      </c>
      <c r="W43">
        <f>J43</f>
        <v>1.1499999999999999</v>
      </c>
    </row>
    <row r="44" spans="1:27" ht="14.4" x14ac:dyDescent="0.3">
      <c r="A44" s="22"/>
      <c r="B44" s="22"/>
      <c r="C44" s="23"/>
      <c r="D44" s="23" t="s">
        <v>303</v>
      </c>
      <c r="E44" s="24" t="s">
        <v>304</v>
      </c>
      <c r="F44" s="10">
        <f>Source!DN24</f>
        <v>80</v>
      </c>
      <c r="G44" s="26"/>
      <c r="H44" s="25"/>
      <c r="I44" s="10"/>
      <c r="J44" s="27">
        <f>SUM(Q39:Q43)</f>
        <v>2.12</v>
      </c>
      <c r="K44" s="10">
        <f>Source!BZ24</f>
        <v>68</v>
      </c>
      <c r="L44" s="27">
        <f>SUM(R39:R43)</f>
        <v>44.2</v>
      </c>
    </row>
    <row r="45" spans="1:27" ht="14.4" x14ac:dyDescent="0.3">
      <c r="A45" s="22"/>
      <c r="B45" s="22"/>
      <c r="C45" s="23"/>
      <c r="D45" s="23" t="s">
        <v>305</v>
      </c>
      <c r="E45" s="24" t="s">
        <v>304</v>
      </c>
      <c r="F45" s="10">
        <f>Source!DO24</f>
        <v>55</v>
      </c>
      <c r="G45" s="26"/>
      <c r="H45" s="25"/>
      <c r="I45" s="10"/>
      <c r="J45" s="27">
        <f>SUM(S39:S44)</f>
        <v>1.46</v>
      </c>
      <c r="K45" s="10">
        <f>Source!CA24</f>
        <v>41</v>
      </c>
      <c r="L45" s="27">
        <f>SUM(T39:T44)</f>
        <v>26.65</v>
      </c>
    </row>
    <row r="46" spans="1:27" ht="14.4" x14ac:dyDescent="0.3">
      <c r="A46" s="22"/>
      <c r="B46" s="22"/>
      <c r="C46" s="23"/>
      <c r="D46" s="23" t="s">
        <v>306</v>
      </c>
      <c r="E46" s="24" t="s">
        <v>304</v>
      </c>
      <c r="F46" s="10">
        <f>175</f>
        <v>175</v>
      </c>
      <c r="G46" s="26"/>
      <c r="H46" s="25"/>
      <c r="I46" s="10"/>
      <c r="J46" s="27">
        <f>SUM(U39:U45)</f>
        <v>2.0099999999999998</v>
      </c>
      <c r="K46" s="10">
        <f>157</f>
        <v>157</v>
      </c>
      <c r="L46" s="27">
        <f>SUM(V39:V45)</f>
        <v>44.29</v>
      </c>
    </row>
    <row r="47" spans="1:27" ht="14.4" x14ac:dyDescent="0.3">
      <c r="A47" s="22"/>
      <c r="B47" s="22"/>
      <c r="C47" s="23"/>
      <c r="D47" s="23" t="s">
        <v>307</v>
      </c>
      <c r="E47" s="24" t="s">
        <v>308</v>
      </c>
      <c r="F47" s="10">
        <f>Source!AQ24</f>
        <v>155</v>
      </c>
      <c r="G47" s="26"/>
      <c r="H47" s="25" t="str">
        <f>Source!DI24</f>
        <v>)*1,25</v>
      </c>
      <c r="I47" s="10">
        <f>Source!AV24</f>
        <v>1.0469999999999999</v>
      </c>
      <c r="J47" s="27">
        <f>Source!U24</f>
        <v>0.24342749999999996</v>
      </c>
      <c r="K47" s="10"/>
      <c r="L47" s="27"/>
    </row>
    <row r="48" spans="1:27" ht="13.8" x14ac:dyDescent="0.25">
      <c r="A48" s="31"/>
      <c r="B48" s="31"/>
      <c r="C48" s="31"/>
      <c r="D48" s="31"/>
      <c r="E48" s="31"/>
      <c r="F48" s="31"/>
      <c r="G48" s="31"/>
      <c r="H48" s="31"/>
      <c r="I48" s="61">
        <f>J41+J42+J44+J45+J46</f>
        <v>12.500000000000002</v>
      </c>
      <c r="J48" s="61"/>
      <c r="K48" s="61">
        <f>L41+L42+L44+L45+L46</f>
        <v>227.60000000000002</v>
      </c>
      <c r="L48" s="61"/>
      <c r="O48" s="30">
        <f>J41+J42+J44+J45+J46</f>
        <v>12.500000000000002</v>
      </c>
      <c r="P48" s="30">
        <f>L41+L42+L44+L45+L46</f>
        <v>227.60000000000002</v>
      </c>
      <c r="X48">
        <f>IF(Source!BI24&lt;=1,J41+J42+J44+J45+J46-0, 0)</f>
        <v>12.500000000000002</v>
      </c>
      <c r="Y48">
        <f>IF(Source!BI24=2,J41+J42+J44+J45+J46-0, 0)</f>
        <v>0</v>
      </c>
      <c r="Z48">
        <f>IF(Source!BI24=3,J41+J42+J44+J45+J46-0, 0)</f>
        <v>0</v>
      </c>
      <c r="AA48">
        <f>IF(Source!BI24=4,J41+J42+J44+J45+J46,0)</f>
        <v>0</v>
      </c>
    </row>
    <row r="49" spans="1:27" ht="41.4" x14ac:dyDescent="0.3">
      <c r="A49" s="22">
        <v>2</v>
      </c>
      <c r="B49" s="22" t="str">
        <f>Source!E25</f>
        <v>2</v>
      </c>
      <c r="C49" s="23" t="str">
        <f>Source!F25</f>
        <v>3.27-12-1</v>
      </c>
      <c r="D49" s="23" t="s">
        <v>34</v>
      </c>
      <c r="E49" s="24" t="str">
        <f>Source!H25</f>
        <v>100 м3</v>
      </c>
      <c r="F49" s="10">
        <f>Source!I25</f>
        <v>7.1999999999999998E-3</v>
      </c>
      <c r="G49" s="26"/>
      <c r="H49" s="25"/>
      <c r="I49" s="10"/>
      <c r="J49" s="27"/>
      <c r="K49" s="10"/>
      <c r="L49" s="27"/>
      <c r="Q49">
        <f>ROUND((Source!DN25/100)*ROUND((ROUND((Source!AF25*Source!AV25*Source!I25),2)),2), 2)</f>
        <v>2.11</v>
      </c>
      <c r="R49">
        <f>Source!X25</f>
        <v>37.22</v>
      </c>
      <c r="S49">
        <f>ROUND((Source!DO25/100)*ROUND((ROUND((Source!AF25*Source!AV25*Source!I25),2)),2), 2)</f>
        <v>1.4</v>
      </c>
      <c r="T49">
        <f>Source!Y25</f>
        <v>15.34</v>
      </c>
      <c r="U49">
        <f>ROUND((175/100)*ROUND((ROUND((Source!AE25*Source!AV25*Source!I25),2)),2), 2)</f>
        <v>1.8</v>
      </c>
      <c r="V49">
        <f>ROUND((157/100)*ROUND(ROUND((ROUND((Source!AE25*Source!AV25*Source!I25),2)*Source!BS25),2), 2), 2)</f>
        <v>35.07</v>
      </c>
    </row>
    <row r="50" spans="1:27" x14ac:dyDescent="0.25">
      <c r="D50" s="28" t="str">
        <f>"Объем: "&amp;Source!I25&amp;"="&amp;Source!I24&amp;"/"&amp;"0,05*"&amp;"0,3"</f>
        <v>Объем: 0,0072=0,0012/0,05*0,3</v>
      </c>
    </row>
    <row r="51" spans="1:27" ht="14.4" x14ac:dyDescent="0.3">
      <c r="A51" s="22"/>
      <c r="B51" s="22"/>
      <c r="C51" s="23"/>
      <c r="D51" s="23" t="s">
        <v>300</v>
      </c>
      <c r="E51" s="24"/>
      <c r="F51" s="10"/>
      <c r="G51" s="26">
        <f>Source!AO25</f>
        <v>151.49</v>
      </c>
      <c r="H51" s="25" t="str">
        <f>Source!DG25</f>
        <v>)*1,15</v>
      </c>
      <c r="I51" s="10">
        <f>Source!AV25</f>
        <v>1.0469999999999999</v>
      </c>
      <c r="J51" s="27">
        <f>ROUND((ROUND((Source!AF25*Source!AV25*Source!I25),2)),2)</f>
        <v>1.31</v>
      </c>
      <c r="K51" s="10">
        <f>IF(Source!BA25&lt;&gt; 0, Source!BA25, 1)</f>
        <v>21.69</v>
      </c>
      <c r="L51" s="27">
        <f>Source!S25</f>
        <v>28.41</v>
      </c>
      <c r="W51">
        <f>J51</f>
        <v>1.31</v>
      </c>
    </row>
    <row r="52" spans="1:27" ht="14.4" x14ac:dyDescent="0.3">
      <c r="A52" s="22"/>
      <c r="B52" s="22"/>
      <c r="C52" s="23"/>
      <c r="D52" s="23" t="s">
        <v>301</v>
      </c>
      <c r="E52" s="24"/>
      <c r="F52" s="10"/>
      <c r="G52" s="26">
        <f>Source!AM25</f>
        <v>676.47</v>
      </c>
      <c r="H52" s="25" t="str">
        <f>Source!DE25</f>
        <v>)*1,15</v>
      </c>
      <c r="I52" s="10">
        <f>Source!AV25</f>
        <v>1.0469999999999999</v>
      </c>
      <c r="J52" s="27">
        <f>(ROUND((ROUND((((Source!ET25*1.15))*Source!AV25*Source!I25),2)),2)+ROUND((ROUND(((Source!AE25-((Source!EU25*1.15)))*Source!AV25*Source!I25),2)),2))</f>
        <v>5.86</v>
      </c>
      <c r="K52" s="10">
        <f>IF(Source!BB25&lt;&gt; 0, Source!BB25, 1)</f>
        <v>9.9600000000000009</v>
      </c>
      <c r="L52" s="27">
        <f>Source!Q25</f>
        <v>58.37</v>
      </c>
    </row>
    <row r="53" spans="1:27" ht="14.4" x14ac:dyDescent="0.3">
      <c r="A53" s="22"/>
      <c r="B53" s="22"/>
      <c r="C53" s="23"/>
      <c r="D53" s="23" t="s">
        <v>302</v>
      </c>
      <c r="E53" s="24"/>
      <c r="F53" s="10"/>
      <c r="G53" s="26">
        <f>Source!AN25</f>
        <v>119.05</v>
      </c>
      <c r="H53" s="25" t="str">
        <f>Source!DF25</f>
        <v>)*1,15</v>
      </c>
      <c r="I53" s="10">
        <f>Source!AV25</f>
        <v>1.0469999999999999</v>
      </c>
      <c r="J53" s="29">
        <f>ROUND((ROUND((Source!AE25*Source!AV25*Source!I25),2)),2)</f>
        <v>1.03</v>
      </c>
      <c r="K53" s="10">
        <f>IF(Source!BS25&lt;&gt; 0, Source!BS25, 1)</f>
        <v>21.69</v>
      </c>
      <c r="L53" s="29">
        <f>Source!R25</f>
        <v>22.34</v>
      </c>
      <c r="W53">
        <f>J53</f>
        <v>1.03</v>
      </c>
    </row>
    <row r="54" spans="1:27" ht="14.4" x14ac:dyDescent="0.3">
      <c r="A54" s="22"/>
      <c r="B54" s="22"/>
      <c r="C54" s="23"/>
      <c r="D54" s="23" t="s">
        <v>309</v>
      </c>
      <c r="E54" s="24"/>
      <c r="F54" s="10"/>
      <c r="G54" s="26">
        <f>Source!AL25</f>
        <v>35.35</v>
      </c>
      <c r="H54" s="25" t="str">
        <f>Source!DD25</f>
        <v/>
      </c>
      <c r="I54" s="10">
        <f>Source!AW25</f>
        <v>1.002</v>
      </c>
      <c r="J54" s="27">
        <f>ROUND((ROUND((Source!AC25*Source!AW25*Source!I25),2)),2)</f>
        <v>0.26</v>
      </c>
      <c r="K54" s="10">
        <f>IF(Source!BC25&lt;&gt; 0, Source!BC25, 1)</f>
        <v>4.5599999999999996</v>
      </c>
      <c r="L54" s="27">
        <f>Source!P25</f>
        <v>1.19</v>
      </c>
    </row>
    <row r="55" spans="1:27" ht="27.6" x14ac:dyDescent="0.3">
      <c r="A55" s="22">
        <v>3</v>
      </c>
      <c r="B55" s="22" t="str">
        <f>Source!E26</f>
        <v>2,1</v>
      </c>
      <c r="C55" s="23" t="str">
        <f>Source!F26</f>
        <v>1.1-1-766</v>
      </c>
      <c r="D55" s="23" t="s">
        <v>44</v>
      </c>
      <c r="E55" s="24" t="str">
        <f>Source!H26</f>
        <v>м3</v>
      </c>
      <c r="F55" s="10">
        <f>Source!I26</f>
        <v>0.72</v>
      </c>
      <c r="G55" s="26">
        <f>Source!AK26</f>
        <v>104.99</v>
      </c>
      <c r="H55" s="32" t="s">
        <v>3</v>
      </c>
      <c r="I55" s="10">
        <f>Source!AW26</f>
        <v>1.002</v>
      </c>
      <c r="J55" s="27">
        <f>ROUND((ROUND((Source!AC26*Source!AW26*Source!I26),2)),2)+(ROUND((ROUND(((Source!ET26)*Source!AV26*Source!I26),2)),2)+ROUND((ROUND(((Source!AE26-(Source!EU26))*Source!AV26*Source!I26),2)),2))+ROUND((ROUND((Source!AF26*Source!AV26*Source!I26),2)),2)</f>
        <v>75.739999999999995</v>
      </c>
      <c r="K55" s="10">
        <f>IF(Source!BC26&lt;&gt; 0, Source!BC26, 1)</f>
        <v>5.5</v>
      </c>
      <c r="L55" s="27">
        <f>Source!O26</f>
        <v>416.57</v>
      </c>
      <c r="Q55">
        <f>ROUND((Source!DN26/100)*ROUND((ROUND((Source!AF26*Source!AV26*Source!I26),2)),2), 2)</f>
        <v>0</v>
      </c>
      <c r="R55">
        <f>Source!X26</f>
        <v>0</v>
      </c>
      <c r="S55">
        <f>ROUND((Source!DO26/100)*ROUND((ROUND((Source!AF26*Source!AV26*Source!I26),2)),2), 2)</f>
        <v>0</v>
      </c>
      <c r="T55">
        <f>Source!Y26</f>
        <v>0</v>
      </c>
      <c r="U55">
        <f>ROUND((175/100)*ROUND((ROUND((Source!AE26*Source!AV26*Source!I26),2)),2), 2)</f>
        <v>0</v>
      </c>
      <c r="V55">
        <f>ROUND((157/100)*ROUND(ROUND((ROUND((Source!AE26*Source!AV26*Source!I26),2)*Source!BS26),2), 2), 2)</f>
        <v>0</v>
      </c>
      <c r="X55">
        <f>IF(Source!BI26&lt;=1,J55, 0)</f>
        <v>75.739999999999995</v>
      </c>
      <c r="Y55">
        <f>IF(Source!BI26=2,J55, 0)</f>
        <v>0</v>
      </c>
      <c r="Z55">
        <f>IF(Source!BI26=3,J55, 0)</f>
        <v>0</v>
      </c>
      <c r="AA55">
        <f>IF(Source!BI26=4,J55, 0)</f>
        <v>0</v>
      </c>
    </row>
    <row r="56" spans="1:27" ht="14.4" x14ac:dyDescent="0.3">
      <c r="A56" s="22"/>
      <c r="B56" s="22"/>
      <c r="C56" s="23"/>
      <c r="D56" s="23" t="s">
        <v>303</v>
      </c>
      <c r="E56" s="24" t="s">
        <v>304</v>
      </c>
      <c r="F56" s="10">
        <f>Source!DN25</f>
        <v>161</v>
      </c>
      <c r="G56" s="26"/>
      <c r="H56" s="25"/>
      <c r="I56" s="10"/>
      <c r="J56" s="27">
        <f>SUM(Q49:Q55)</f>
        <v>2.11</v>
      </c>
      <c r="K56" s="10">
        <f>Source!BZ25</f>
        <v>131</v>
      </c>
      <c r="L56" s="27">
        <f>SUM(R49:R55)</f>
        <v>37.22</v>
      </c>
    </row>
    <row r="57" spans="1:27" ht="14.4" x14ac:dyDescent="0.3">
      <c r="A57" s="22"/>
      <c r="B57" s="22"/>
      <c r="C57" s="23"/>
      <c r="D57" s="23" t="s">
        <v>305</v>
      </c>
      <c r="E57" s="24" t="s">
        <v>304</v>
      </c>
      <c r="F57" s="10">
        <f>Source!DO25</f>
        <v>107</v>
      </c>
      <c r="G57" s="26"/>
      <c r="H57" s="25"/>
      <c r="I57" s="10"/>
      <c r="J57" s="27">
        <f>SUM(S49:S56)</f>
        <v>1.4</v>
      </c>
      <c r="K57" s="10">
        <f>Source!CA25</f>
        <v>54</v>
      </c>
      <c r="L57" s="27">
        <f>SUM(T49:T56)</f>
        <v>15.34</v>
      </c>
    </row>
    <row r="58" spans="1:27" ht="14.4" x14ac:dyDescent="0.3">
      <c r="A58" s="22"/>
      <c r="B58" s="22"/>
      <c r="C58" s="23"/>
      <c r="D58" s="23" t="s">
        <v>306</v>
      </c>
      <c r="E58" s="24" t="s">
        <v>304</v>
      </c>
      <c r="F58" s="10">
        <f>175</f>
        <v>175</v>
      </c>
      <c r="G58" s="26"/>
      <c r="H58" s="25"/>
      <c r="I58" s="10"/>
      <c r="J58" s="27">
        <f>SUM(U49:U57)</f>
        <v>1.8</v>
      </c>
      <c r="K58" s="10">
        <f>157</f>
        <v>157</v>
      </c>
      <c r="L58" s="27">
        <f>SUM(V49:V57)</f>
        <v>35.07</v>
      </c>
    </row>
    <row r="59" spans="1:27" ht="14.4" x14ac:dyDescent="0.3">
      <c r="A59" s="22"/>
      <c r="B59" s="22"/>
      <c r="C59" s="23"/>
      <c r="D59" s="23" t="s">
        <v>307</v>
      </c>
      <c r="E59" s="24" t="s">
        <v>308</v>
      </c>
      <c r="F59" s="10">
        <f>Source!AQ25</f>
        <v>14.4</v>
      </c>
      <c r="G59" s="26"/>
      <c r="H59" s="25" t="str">
        <f>Source!DI25</f>
        <v>)*1,15</v>
      </c>
      <c r="I59" s="10">
        <f>Source!AV25</f>
        <v>1.0469999999999999</v>
      </c>
      <c r="J59" s="27">
        <f>Source!U25</f>
        <v>0.12483590399999997</v>
      </c>
      <c r="K59" s="10"/>
      <c r="L59" s="27"/>
    </row>
    <row r="60" spans="1:27" ht="13.8" x14ac:dyDescent="0.25">
      <c r="A60" s="31"/>
      <c r="B60" s="31"/>
      <c r="C60" s="31"/>
      <c r="D60" s="31"/>
      <c r="E60" s="31"/>
      <c r="F60" s="31"/>
      <c r="G60" s="31"/>
      <c r="H60" s="31"/>
      <c r="I60" s="61">
        <f>J51+J52+J54+J56+J57+J58+SUM(J55:J55)</f>
        <v>88.47999999999999</v>
      </c>
      <c r="J60" s="61"/>
      <c r="K60" s="61">
        <f>L51+L52+L54+L56+L57+L58+SUM(L55:L55)</f>
        <v>592.16999999999996</v>
      </c>
      <c r="L60" s="61"/>
      <c r="O60" s="30">
        <f>J51+J52+J54+J56+J57+J58+SUM(J55:J55)</f>
        <v>88.47999999999999</v>
      </c>
      <c r="P60" s="30">
        <f>L51+L52+L54+L56+L57+L58+SUM(L55:L55)</f>
        <v>592.16999999999996</v>
      </c>
      <c r="X60">
        <f>IF(Source!BI25&lt;=1,J51+J52+J54+J56+J57+J58-0, 0)</f>
        <v>12.74</v>
      </c>
      <c r="Y60">
        <f>IF(Source!BI25=2,J51+J52+J54+J56+J57+J58-0, 0)</f>
        <v>0</v>
      </c>
      <c r="Z60">
        <f>IF(Source!BI25=3,J51+J52+J54+J56+J57+J58-0, 0)</f>
        <v>0</v>
      </c>
      <c r="AA60">
        <f>IF(Source!BI25=4,J51+J52+J54+J56+J57+J58,0)</f>
        <v>0</v>
      </c>
    </row>
    <row r="61" spans="1:27" ht="41.4" x14ac:dyDescent="0.3">
      <c r="A61" s="22">
        <v>4</v>
      </c>
      <c r="B61" s="22" t="str">
        <f>Source!E27</f>
        <v>3</v>
      </c>
      <c r="C61" s="23" t="str">
        <f>Source!F27</f>
        <v>3.27-12-2</v>
      </c>
      <c r="D61" s="23" t="s">
        <v>49</v>
      </c>
      <c r="E61" s="24" t="str">
        <f>Source!H27</f>
        <v>100 м3</v>
      </c>
      <c r="F61" s="10">
        <f>Source!I27</f>
        <v>1E-3</v>
      </c>
      <c r="G61" s="26"/>
      <c r="H61" s="25"/>
      <c r="I61" s="10"/>
      <c r="J61" s="27"/>
      <c r="K61" s="10"/>
      <c r="L61" s="27"/>
      <c r="Q61">
        <f>ROUND((Source!DN27/100)*ROUND((ROUND((Source!AF27*Source!AV27*Source!I27),2)),2), 2)</f>
        <v>0.38</v>
      </c>
      <c r="R61">
        <f>Source!X27</f>
        <v>7.41</v>
      </c>
      <c r="S61">
        <f>ROUND((Source!DO27/100)*ROUND((ROUND((Source!AF27*Source!AV27*Source!I27),2)),2), 2)</f>
        <v>0.21</v>
      </c>
      <c r="T61">
        <f>Source!Y27</f>
        <v>2.71</v>
      </c>
      <c r="U61">
        <f>ROUND((175/100)*ROUND((ROUND((Source!AE27*Source!AV27*Source!I27),2)),2), 2)</f>
        <v>1.02</v>
      </c>
      <c r="V61">
        <f>ROUND((157/100)*ROUND(ROUND((ROUND((Source!AE27*Source!AV27*Source!I27),2)*Source!BS27),2), 2), 2)</f>
        <v>22.34</v>
      </c>
    </row>
    <row r="62" spans="1:27" x14ac:dyDescent="0.25">
      <c r="D62" s="28" t="str">
        <f>"Объем: "&amp;Source!I27&amp;"="&amp;Source!I24&amp;"/"&amp;"0,3*"&amp;"0,25"</f>
        <v>Объем: 0,001=0,0012/0,3*0,25</v>
      </c>
    </row>
    <row r="63" spans="1:27" ht="14.4" x14ac:dyDescent="0.3">
      <c r="A63" s="22"/>
      <c r="B63" s="22"/>
      <c r="C63" s="23"/>
      <c r="D63" s="23" t="s">
        <v>300</v>
      </c>
      <c r="E63" s="24"/>
      <c r="F63" s="10"/>
      <c r="G63" s="26">
        <f>Source!AO27</f>
        <v>227.23</v>
      </c>
      <c r="H63" s="25" t="str">
        <f>Source!DG27</f>
        <v>)*1,15</v>
      </c>
      <c r="I63" s="10">
        <f>Source!AV27</f>
        <v>1.0469999999999999</v>
      </c>
      <c r="J63" s="27">
        <f>ROUND((ROUND((Source!AF27*Source!AV27*Source!I27),2)),2)</f>
        <v>0.27</v>
      </c>
      <c r="K63" s="10">
        <f>IF(Source!BA27&lt;&gt; 0, Source!BA27, 1)</f>
        <v>24.53</v>
      </c>
      <c r="L63" s="27">
        <f>Source!S27</f>
        <v>6.62</v>
      </c>
      <c r="W63">
        <f>J63</f>
        <v>0.27</v>
      </c>
    </row>
    <row r="64" spans="1:27" ht="14.4" x14ac:dyDescent="0.3">
      <c r="A64" s="22"/>
      <c r="B64" s="22"/>
      <c r="C64" s="23"/>
      <c r="D64" s="23" t="s">
        <v>301</v>
      </c>
      <c r="E64" s="24"/>
      <c r="F64" s="10"/>
      <c r="G64" s="26">
        <f>Source!AM27</f>
        <v>5183.75</v>
      </c>
      <c r="H64" s="25" t="str">
        <f>Source!DE27</f>
        <v>)*1,15</v>
      </c>
      <c r="I64" s="10">
        <f>Source!AV27</f>
        <v>1.0469999999999999</v>
      </c>
      <c r="J64" s="27">
        <f>(ROUND((ROUND((((Source!ET27*1.15))*Source!AV27*Source!I27),2)),2)+ROUND((ROUND(((Source!AE27-((Source!EU27*1.15)))*Source!AV27*Source!I27),2)),2))</f>
        <v>6.24</v>
      </c>
      <c r="K64" s="10">
        <f>IF(Source!BB27&lt;&gt; 0, Source!BB27, 1)</f>
        <v>8.42</v>
      </c>
      <c r="L64" s="27">
        <f>Source!Q27</f>
        <v>52.54</v>
      </c>
    </row>
    <row r="65" spans="1:27" ht="14.4" x14ac:dyDescent="0.3">
      <c r="A65" s="22"/>
      <c r="B65" s="22"/>
      <c r="C65" s="23"/>
      <c r="D65" s="23" t="s">
        <v>302</v>
      </c>
      <c r="E65" s="24"/>
      <c r="F65" s="10"/>
      <c r="G65" s="26">
        <f>Source!AN27</f>
        <v>481.08</v>
      </c>
      <c r="H65" s="25" t="str">
        <f>Source!DF27</f>
        <v>)*1,15</v>
      </c>
      <c r="I65" s="10">
        <f>Source!AV27</f>
        <v>1.0469999999999999</v>
      </c>
      <c r="J65" s="29">
        <f>ROUND((ROUND((Source!AE27*Source!AV27*Source!I27),2)),2)</f>
        <v>0.57999999999999996</v>
      </c>
      <c r="K65" s="10">
        <f>IF(Source!BS27&lt;&gt; 0, Source!BS27, 1)</f>
        <v>24.53</v>
      </c>
      <c r="L65" s="29">
        <f>Source!R27</f>
        <v>14.23</v>
      </c>
      <c r="W65">
        <f>J65</f>
        <v>0.57999999999999996</v>
      </c>
    </row>
    <row r="66" spans="1:27" ht="14.4" x14ac:dyDescent="0.3">
      <c r="A66" s="22"/>
      <c r="B66" s="22"/>
      <c r="C66" s="23"/>
      <c r="D66" s="23" t="s">
        <v>309</v>
      </c>
      <c r="E66" s="24"/>
      <c r="F66" s="10"/>
      <c r="G66" s="26">
        <f>Source!AL27</f>
        <v>49.49</v>
      </c>
      <c r="H66" s="25" t="str">
        <f>Source!DD27</f>
        <v/>
      </c>
      <c r="I66" s="10">
        <f>Source!AW27</f>
        <v>1.002</v>
      </c>
      <c r="J66" s="27">
        <f>ROUND((ROUND((Source!AC27*Source!AW27*Source!I27),2)),2)</f>
        <v>0.05</v>
      </c>
      <c r="K66" s="10">
        <f>IF(Source!BC27&lt;&gt; 0, Source!BC27, 1)</f>
        <v>4.99</v>
      </c>
      <c r="L66" s="27">
        <f>Source!P27</f>
        <v>0.25</v>
      </c>
    </row>
    <row r="67" spans="1:27" ht="41.4" x14ac:dyDescent="0.3">
      <c r="A67" s="22">
        <v>5</v>
      </c>
      <c r="B67" s="22" t="str">
        <f>Source!E28</f>
        <v>3,1</v>
      </c>
      <c r="C67" s="23" t="str">
        <f>Source!F28</f>
        <v>1.1-1-1553</v>
      </c>
      <c r="D67" s="23" t="s">
        <v>53</v>
      </c>
      <c r="E67" s="24" t="str">
        <f>Source!H28</f>
        <v>м3</v>
      </c>
      <c r="F67" s="10">
        <f>Source!I28</f>
        <v>0.1</v>
      </c>
      <c r="G67" s="26">
        <f>Source!AK28</f>
        <v>234.69</v>
      </c>
      <c r="H67" s="32" t="s">
        <v>3</v>
      </c>
      <c r="I67" s="10">
        <f>Source!AW28</f>
        <v>1.002</v>
      </c>
      <c r="J67" s="27">
        <f>ROUND((ROUND((Source!AC28*Source!AW28*Source!I28),2)),2)+(ROUND((ROUND(((Source!ET28)*Source!AV28*Source!I28),2)),2)+ROUND((ROUND(((Source!AE28-(Source!EU28))*Source!AV28*Source!I28),2)),2))+ROUND((ROUND((Source!AF28*Source!AV28*Source!I28),2)),2)</f>
        <v>23.52</v>
      </c>
      <c r="K67" s="10">
        <f>IF(Source!BC28&lt;&gt; 0, Source!BC28, 1)</f>
        <v>7.86</v>
      </c>
      <c r="L67" s="27">
        <f>Source!O28</f>
        <v>184.87</v>
      </c>
      <c r="Q67">
        <f>ROUND((Source!DN28/100)*ROUND((ROUND((Source!AF28*Source!AV28*Source!I28),2)),2), 2)</f>
        <v>0</v>
      </c>
      <c r="R67">
        <f>Source!X28</f>
        <v>0</v>
      </c>
      <c r="S67">
        <f>ROUND((Source!DO28/100)*ROUND((ROUND((Source!AF28*Source!AV28*Source!I28),2)),2), 2)</f>
        <v>0</v>
      </c>
      <c r="T67">
        <f>Source!Y28</f>
        <v>0</v>
      </c>
      <c r="U67">
        <f>ROUND((175/100)*ROUND((ROUND((Source!AE28*Source!AV28*Source!I28),2)),2), 2)</f>
        <v>0</v>
      </c>
      <c r="V67">
        <f>ROUND((157/100)*ROUND(ROUND((ROUND((Source!AE28*Source!AV28*Source!I28),2)*Source!BS28),2), 2), 2)</f>
        <v>0</v>
      </c>
      <c r="X67">
        <f>IF(Source!BI28&lt;=1,J67, 0)</f>
        <v>23.52</v>
      </c>
      <c r="Y67">
        <f>IF(Source!BI28=2,J67, 0)</f>
        <v>0</v>
      </c>
      <c r="Z67">
        <f>IF(Source!BI28=3,J67, 0)</f>
        <v>0</v>
      </c>
      <c r="AA67">
        <f>IF(Source!BI28=4,J67, 0)</f>
        <v>0</v>
      </c>
    </row>
    <row r="68" spans="1:27" ht="14.4" x14ac:dyDescent="0.3">
      <c r="A68" s="22"/>
      <c r="B68" s="22"/>
      <c r="C68" s="23"/>
      <c r="D68" s="23" t="s">
        <v>303</v>
      </c>
      <c r="E68" s="24" t="s">
        <v>304</v>
      </c>
      <c r="F68" s="10">
        <f>Source!DN27</f>
        <v>140</v>
      </c>
      <c r="G68" s="26"/>
      <c r="H68" s="25"/>
      <c r="I68" s="10"/>
      <c r="J68" s="27">
        <f>SUM(Q61:Q67)</f>
        <v>0.38</v>
      </c>
      <c r="K68" s="10">
        <f>Source!BZ27</f>
        <v>112</v>
      </c>
      <c r="L68" s="27">
        <f>SUM(R61:R67)</f>
        <v>7.41</v>
      </c>
    </row>
    <row r="69" spans="1:27" ht="14.4" x14ac:dyDescent="0.3">
      <c r="A69" s="22"/>
      <c r="B69" s="22"/>
      <c r="C69" s="23"/>
      <c r="D69" s="23" t="s">
        <v>305</v>
      </c>
      <c r="E69" s="24" t="s">
        <v>304</v>
      </c>
      <c r="F69" s="10">
        <f>Source!DO27</f>
        <v>79</v>
      </c>
      <c r="G69" s="26"/>
      <c r="H69" s="25"/>
      <c r="I69" s="10"/>
      <c r="J69" s="27">
        <f>SUM(S61:S68)</f>
        <v>0.21</v>
      </c>
      <c r="K69" s="10">
        <f>Source!CA27</f>
        <v>41</v>
      </c>
      <c r="L69" s="27">
        <f>SUM(T61:T68)</f>
        <v>2.71</v>
      </c>
    </row>
    <row r="70" spans="1:27" ht="14.4" x14ac:dyDescent="0.3">
      <c r="A70" s="22"/>
      <c r="B70" s="22"/>
      <c r="C70" s="23"/>
      <c r="D70" s="23" t="s">
        <v>306</v>
      </c>
      <c r="E70" s="24" t="s">
        <v>304</v>
      </c>
      <c r="F70" s="10">
        <f>175</f>
        <v>175</v>
      </c>
      <c r="G70" s="26"/>
      <c r="H70" s="25"/>
      <c r="I70" s="10"/>
      <c r="J70" s="27">
        <f>SUM(U61:U69)</f>
        <v>1.02</v>
      </c>
      <c r="K70" s="10">
        <f>157</f>
        <v>157</v>
      </c>
      <c r="L70" s="27">
        <f>SUM(V61:V69)</f>
        <v>22.34</v>
      </c>
    </row>
    <row r="71" spans="1:27" ht="14.4" x14ac:dyDescent="0.3">
      <c r="A71" s="22"/>
      <c r="B71" s="22"/>
      <c r="C71" s="23"/>
      <c r="D71" s="23" t="s">
        <v>307</v>
      </c>
      <c r="E71" s="24" t="s">
        <v>308</v>
      </c>
      <c r="F71" s="10">
        <f>Source!AQ27</f>
        <v>21.6</v>
      </c>
      <c r="G71" s="26"/>
      <c r="H71" s="25" t="str">
        <f>Source!DI27</f>
        <v>)*1,15</v>
      </c>
      <c r="I71" s="10">
        <f>Source!AV27</f>
        <v>1.0469999999999999</v>
      </c>
      <c r="J71" s="27">
        <f>Source!U27</f>
        <v>2.6007479999999999E-2</v>
      </c>
      <c r="K71" s="10"/>
      <c r="L71" s="27"/>
    </row>
    <row r="72" spans="1:27" ht="13.8" x14ac:dyDescent="0.25">
      <c r="A72" s="31"/>
      <c r="B72" s="31"/>
      <c r="C72" s="31"/>
      <c r="D72" s="31"/>
      <c r="E72" s="31"/>
      <c r="F72" s="31"/>
      <c r="G72" s="31"/>
      <c r="H72" s="31"/>
      <c r="I72" s="61">
        <f>J63+J64+J66+J68+J69+J70+SUM(J67:J67)</f>
        <v>31.689999999999998</v>
      </c>
      <c r="J72" s="61"/>
      <c r="K72" s="61">
        <f>L63+L64+L66+L68+L69+L70+SUM(L67:L67)</f>
        <v>276.74</v>
      </c>
      <c r="L72" s="61"/>
      <c r="O72" s="30">
        <f>J63+J64+J66+J68+J69+J70+SUM(J67:J67)</f>
        <v>31.689999999999998</v>
      </c>
      <c r="P72" s="30">
        <f>L63+L64+L66+L68+L69+L70+SUM(L67:L67)</f>
        <v>276.74</v>
      </c>
      <c r="X72">
        <f>IF(Source!BI27&lt;=1,J63+J64+J66+J68+J69+J70-0, 0)</f>
        <v>8.17</v>
      </c>
      <c r="Y72">
        <f>IF(Source!BI27=2,J63+J64+J66+J68+J69+J70-0, 0)</f>
        <v>0</v>
      </c>
      <c r="Z72">
        <f>IF(Source!BI27=3,J63+J64+J66+J68+J69+J70-0, 0)</f>
        <v>0</v>
      </c>
      <c r="AA72">
        <f>IF(Source!BI27=4,J63+J64+J66+J68+J69+J70,0)</f>
        <v>0</v>
      </c>
    </row>
    <row r="73" spans="1:27" ht="55.2" x14ac:dyDescent="0.3">
      <c r="A73" s="22">
        <v>6</v>
      </c>
      <c r="B73" s="22" t="str">
        <f>Source!E29</f>
        <v>4</v>
      </c>
      <c r="C73" s="23" t="str">
        <f>Source!F29</f>
        <v>3.1-29-2</v>
      </c>
      <c r="D73" s="23" t="s">
        <v>57</v>
      </c>
      <c r="E73" s="24" t="str">
        <f>Source!H29</f>
        <v>100 м3</v>
      </c>
      <c r="F73" s="10">
        <f>Source!I29</f>
        <v>2.3999999999999998E-3</v>
      </c>
      <c r="G73" s="26"/>
      <c r="H73" s="25"/>
      <c r="I73" s="10"/>
      <c r="J73" s="27"/>
      <c r="K73" s="10"/>
      <c r="L73" s="27"/>
      <c r="Q73">
        <f>ROUND((Source!DN29/100)*ROUND((ROUND((Source!AF29*Source!AV29*Source!I29),2)),2), 2)</f>
        <v>0.41</v>
      </c>
      <c r="R73">
        <f>Source!X29</f>
        <v>9.48</v>
      </c>
      <c r="S73">
        <f>ROUND((Source!DO29/100)*ROUND((ROUND((Source!AF29*Source!AV29*Source!I29),2)),2), 2)</f>
        <v>0.32</v>
      </c>
      <c r="T73">
        <f>Source!Y29</f>
        <v>5.15</v>
      </c>
      <c r="U73">
        <f>ROUND((175/100)*ROUND((ROUND((Source!AE29*Source!AV29*Source!I29),2)),2), 2)</f>
        <v>1.17</v>
      </c>
      <c r="V73">
        <f>ROUND((157/100)*ROUND(ROUND((ROUND((Source!AE29*Source!AV29*Source!I29),2)*Source!BS29),2), 2), 2)</f>
        <v>25.81</v>
      </c>
    </row>
    <row r="74" spans="1:27" x14ac:dyDescent="0.25">
      <c r="D74" s="28" t="str">
        <f>"Объем: "&amp;Source!I29&amp;"="&amp;Source!I24&amp;"/"&amp;"0,3*"&amp;"0,6"</f>
        <v>Объем: 0,0024=0,0012/0,3*0,6</v>
      </c>
    </row>
    <row r="75" spans="1:27" ht="14.4" x14ac:dyDescent="0.3">
      <c r="A75" s="22"/>
      <c r="B75" s="22"/>
      <c r="C75" s="23"/>
      <c r="D75" s="23" t="s">
        <v>300</v>
      </c>
      <c r="E75" s="24"/>
      <c r="F75" s="10"/>
      <c r="G75" s="26">
        <f>Source!AO29</f>
        <v>144.22</v>
      </c>
      <c r="H75" s="25" t="str">
        <f>Source!DG29</f>
        <v>)*1,15</v>
      </c>
      <c r="I75" s="10">
        <f>Source!AV29</f>
        <v>1.0469999999999999</v>
      </c>
      <c r="J75" s="27">
        <f>ROUND((ROUND((Source!AF29*Source!AV29*Source!I29),2)),2)</f>
        <v>0.42</v>
      </c>
      <c r="K75" s="10">
        <f>IF(Source!BA29&lt;&gt; 0, Source!BA29, 1)</f>
        <v>24.53</v>
      </c>
      <c r="L75" s="27">
        <f>Source!S29</f>
        <v>10.3</v>
      </c>
      <c r="W75">
        <f>J75</f>
        <v>0.42</v>
      </c>
    </row>
    <row r="76" spans="1:27" ht="14.4" x14ac:dyDescent="0.3">
      <c r="A76" s="22"/>
      <c r="B76" s="22"/>
      <c r="C76" s="23"/>
      <c r="D76" s="23" t="s">
        <v>301</v>
      </c>
      <c r="E76" s="24"/>
      <c r="F76" s="10"/>
      <c r="G76" s="26">
        <f>Source!AM29</f>
        <v>766.63</v>
      </c>
      <c r="H76" s="25" t="str">
        <f>Source!DE29</f>
        <v>)*1,15</v>
      </c>
      <c r="I76" s="10">
        <f>Source!AV29</f>
        <v>1.0469999999999999</v>
      </c>
      <c r="J76" s="27">
        <f>(ROUND((ROUND((((Source!ET29*1.15))*Source!AV29*Source!I29),2)),2)+ROUND((ROUND(((Source!AE29-((Source!EU29*1.15)))*Source!AV29*Source!I29),2)),2))</f>
        <v>2.2200000000000002</v>
      </c>
      <c r="K76" s="10">
        <f>IF(Source!BB29&lt;&gt; 0, Source!BB29, 1)</f>
        <v>12.05</v>
      </c>
      <c r="L76" s="27">
        <f>Source!Q29</f>
        <v>26.75</v>
      </c>
    </row>
    <row r="77" spans="1:27" ht="14.4" x14ac:dyDescent="0.3">
      <c r="A77" s="22"/>
      <c r="B77" s="22"/>
      <c r="C77" s="23"/>
      <c r="D77" s="23" t="s">
        <v>302</v>
      </c>
      <c r="E77" s="24"/>
      <c r="F77" s="10"/>
      <c r="G77" s="26">
        <f>Source!AN29</f>
        <v>232.13</v>
      </c>
      <c r="H77" s="25" t="str">
        <f>Source!DF29</f>
        <v>)*1,15</v>
      </c>
      <c r="I77" s="10">
        <f>Source!AV29</f>
        <v>1.0469999999999999</v>
      </c>
      <c r="J77" s="29">
        <f>ROUND((ROUND((Source!AE29*Source!AV29*Source!I29),2)),2)</f>
        <v>0.67</v>
      </c>
      <c r="K77" s="10">
        <f>IF(Source!BS29&lt;&gt; 0, Source!BS29, 1)</f>
        <v>24.53</v>
      </c>
      <c r="L77" s="29">
        <f>Source!R29</f>
        <v>16.440000000000001</v>
      </c>
      <c r="W77">
        <f>J77</f>
        <v>0.67</v>
      </c>
    </row>
    <row r="78" spans="1:27" ht="14.4" x14ac:dyDescent="0.3">
      <c r="A78" s="22"/>
      <c r="B78" s="22"/>
      <c r="C78" s="23"/>
      <c r="D78" s="23" t="s">
        <v>303</v>
      </c>
      <c r="E78" s="24" t="s">
        <v>304</v>
      </c>
      <c r="F78" s="10">
        <f>Source!DN29</f>
        <v>98</v>
      </c>
      <c r="G78" s="26"/>
      <c r="H78" s="25"/>
      <c r="I78" s="10"/>
      <c r="J78" s="27">
        <f>SUM(Q73:Q77)</f>
        <v>0.41</v>
      </c>
      <c r="K78" s="10">
        <f>Source!BZ29</f>
        <v>92</v>
      </c>
      <c r="L78" s="27">
        <f>SUM(R73:R77)</f>
        <v>9.48</v>
      </c>
    </row>
    <row r="79" spans="1:27" ht="14.4" x14ac:dyDescent="0.3">
      <c r="A79" s="22"/>
      <c r="B79" s="22"/>
      <c r="C79" s="23"/>
      <c r="D79" s="23" t="s">
        <v>305</v>
      </c>
      <c r="E79" s="24" t="s">
        <v>304</v>
      </c>
      <c r="F79" s="10">
        <f>Source!DO29</f>
        <v>77</v>
      </c>
      <c r="G79" s="26"/>
      <c r="H79" s="25"/>
      <c r="I79" s="10"/>
      <c r="J79" s="27">
        <f>SUM(S73:S78)</f>
        <v>0.32</v>
      </c>
      <c r="K79" s="10">
        <f>Source!CA29</f>
        <v>50</v>
      </c>
      <c r="L79" s="27">
        <f>SUM(T73:T78)</f>
        <v>5.15</v>
      </c>
    </row>
    <row r="80" spans="1:27" ht="14.4" x14ac:dyDescent="0.3">
      <c r="A80" s="22"/>
      <c r="B80" s="22"/>
      <c r="C80" s="23"/>
      <c r="D80" s="23" t="s">
        <v>306</v>
      </c>
      <c r="E80" s="24" t="s">
        <v>304</v>
      </c>
      <c r="F80" s="10">
        <f>175</f>
        <v>175</v>
      </c>
      <c r="G80" s="26"/>
      <c r="H80" s="25"/>
      <c r="I80" s="10"/>
      <c r="J80" s="27">
        <f>SUM(U73:U79)</f>
        <v>1.17</v>
      </c>
      <c r="K80" s="10">
        <f>157</f>
        <v>157</v>
      </c>
      <c r="L80" s="27">
        <f>SUM(V73:V79)</f>
        <v>25.81</v>
      </c>
    </row>
    <row r="81" spans="1:27" ht="14.4" x14ac:dyDescent="0.3">
      <c r="A81" s="22"/>
      <c r="B81" s="22"/>
      <c r="C81" s="23"/>
      <c r="D81" s="23" t="s">
        <v>307</v>
      </c>
      <c r="E81" s="24" t="s">
        <v>308</v>
      </c>
      <c r="F81" s="10">
        <f>Source!AQ29</f>
        <v>12.9</v>
      </c>
      <c r="G81" s="26"/>
      <c r="H81" s="25" t="str">
        <f>Source!DI29</f>
        <v>)*1,15</v>
      </c>
      <c r="I81" s="10">
        <f>Source!AV29</f>
        <v>1.0469999999999999</v>
      </c>
      <c r="J81" s="27">
        <f>Source!U29</f>
        <v>3.7277387999999995E-2</v>
      </c>
      <c r="K81" s="10"/>
      <c r="L81" s="27"/>
    </row>
    <row r="82" spans="1:27" ht="13.8" x14ac:dyDescent="0.25">
      <c r="A82" s="31"/>
      <c r="B82" s="31"/>
      <c r="C82" s="31"/>
      <c r="D82" s="31"/>
      <c r="E82" s="31"/>
      <c r="F82" s="31"/>
      <c r="G82" s="31"/>
      <c r="H82" s="31"/>
      <c r="I82" s="61">
        <f>J75+J76+J78+J79+J80</f>
        <v>4.54</v>
      </c>
      <c r="J82" s="61"/>
      <c r="K82" s="61">
        <f>L75+L76+L78+L79+L80</f>
        <v>77.489999999999995</v>
      </c>
      <c r="L82" s="61"/>
      <c r="O82" s="30">
        <f>J75+J76+J78+J79+J80</f>
        <v>4.54</v>
      </c>
      <c r="P82" s="30">
        <f>L75+L76+L78+L79+L80</f>
        <v>77.489999999999995</v>
      </c>
      <c r="X82">
        <f>IF(Source!BI29&lt;=1,J75+J76+J78+J79+J80-0, 0)</f>
        <v>4.54</v>
      </c>
      <c r="Y82">
        <f>IF(Source!BI29=2,J75+J76+J78+J79+J80-0, 0)</f>
        <v>0</v>
      </c>
      <c r="Z82">
        <f>IF(Source!BI29=3,J75+J76+J78+J79+J80-0, 0)</f>
        <v>0</v>
      </c>
      <c r="AA82">
        <f>IF(Source!BI29=4,J75+J76+J78+J79+J80,0)</f>
        <v>0</v>
      </c>
    </row>
    <row r="83" spans="1:27" ht="27.6" x14ac:dyDescent="0.3">
      <c r="A83" s="22">
        <v>7</v>
      </c>
      <c r="B83" s="22" t="str">
        <f>Source!E30</f>
        <v>5</v>
      </c>
      <c r="C83" s="23" t="str">
        <f>Source!F30</f>
        <v>3.1-30-1</v>
      </c>
      <c r="D83" s="23" t="s">
        <v>63</v>
      </c>
      <c r="E83" s="24" t="str">
        <f>Source!H30</f>
        <v>1000 м3</v>
      </c>
      <c r="F83" s="10">
        <f>Source!I30</f>
        <v>2.3999999999999998E-3</v>
      </c>
      <c r="G83" s="26"/>
      <c r="H83" s="25"/>
      <c r="I83" s="10"/>
      <c r="J83" s="27"/>
      <c r="K83" s="10"/>
      <c r="L83" s="27"/>
      <c r="Q83">
        <f>ROUND((Source!DN30/100)*ROUND((ROUND((Source!AF30*Source!AV30*Source!I30),2)),2), 2)</f>
        <v>0.32</v>
      </c>
      <c r="R83">
        <f>Source!X30</f>
        <v>6.5</v>
      </c>
      <c r="S83">
        <f>ROUND((Source!DO30/100)*ROUND((ROUND((Source!AF30*Source!AV30*Source!I30),2)),2), 2)</f>
        <v>0.25</v>
      </c>
      <c r="T83">
        <f>Source!Y30</f>
        <v>3.54</v>
      </c>
      <c r="U83">
        <f>ROUND((175/100)*ROUND((ROUND((Source!AE30*Source!AV30*Source!I30),2)),2), 2)</f>
        <v>1.77</v>
      </c>
      <c r="V83">
        <f>ROUND((157/100)*ROUND(ROUND((ROUND((Source!AE30*Source!AV30*Source!I30),2)*Source!BS30),2), 2), 2)</f>
        <v>33.97</v>
      </c>
    </row>
    <row r="84" spans="1:27" ht="14.4" x14ac:dyDescent="0.3">
      <c r="A84" s="22"/>
      <c r="B84" s="22"/>
      <c r="C84" s="23"/>
      <c r="D84" s="23" t="s">
        <v>300</v>
      </c>
      <c r="E84" s="24"/>
      <c r="F84" s="10"/>
      <c r="G84" s="26">
        <f>Source!AO30</f>
        <v>115.05</v>
      </c>
      <c r="H84" s="25" t="str">
        <f>Source!DG30</f>
        <v>)*1,15</v>
      </c>
      <c r="I84" s="10">
        <f>Source!AV30</f>
        <v>1.0469999999999999</v>
      </c>
      <c r="J84" s="27">
        <f>ROUND((ROUND((Source!AF30*Source!AV30*Source!I30),2)),2)</f>
        <v>0.33</v>
      </c>
      <c r="K84" s="10">
        <f>IF(Source!BA30&lt;&gt; 0, Source!BA30, 1)</f>
        <v>21.43</v>
      </c>
      <c r="L84" s="27">
        <f>Source!S30</f>
        <v>7.07</v>
      </c>
      <c r="W84">
        <f>J84</f>
        <v>0.33</v>
      </c>
    </row>
    <row r="85" spans="1:27" ht="14.4" x14ac:dyDescent="0.3">
      <c r="A85" s="22"/>
      <c r="B85" s="22"/>
      <c r="C85" s="23"/>
      <c r="D85" s="23" t="s">
        <v>301</v>
      </c>
      <c r="E85" s="24"/>
      <c r="F85" s="10"/>
      <c r="G85" s="26">
        <f>Source!AM30</f>
        <v>1715.08</v>
      </c>
      <c r="H85" s="25" t="str">
        <f>Source!DE30</f>
        <v>)*1,15</v>
      </c>
      <c r="I85" s="10">
        <f>Source!AV30</f>
        <v>1.0469999999999999</v>
      </c>
      <c r="J85" s="27">
        <f>(ROUND((ROUND((((Source!ET30*1.15))*Source!AV30*Source!I30),2)),2)+ROUND((ROUND(((Source!AE30-((Source!EU30*1.15)))*Source!AV30*Source!I30),2)),2))</f>
        <v>4.96</v>
      </c>
      <c r="K85" s="10">
        <f>IF(Source!BB30&lt;&gt; 0, Source!BB30, 1)</f>
        <v>13.61</v>
      </c>
      <c r="L85" s="27">
        <f>Source!Q30</f>
        <v>67.510000000000005</v>
      </c>
    </row>
    <row r="86" spans="1:27" ht="14.4" x14ac:dyDescent="0.3">
      <c r="A86" s="22"/>
      <c r="B86" s="22"/>
      <c r="C86" s="23"/>
      <c r="D86" s="23" t="s">
        <v>302</v>
      </c>
      <c r="E86" s="24"/>
      <c r="F86" s="10"/>
      <c r="G86" s="26">
        <f>Source!AN30</f>
        <v>349.04</v>
      </c>
      <c r="H86" s="25" t="str">
        <f>Source!DF30</f>
        <v>)*1,15</v>
      </c>
      <c r="I86" s="10">
        <f>Source!AV30</f>
        <v>1.0469999999999999</v>
      </c>
      <c r="J86" s="29">
        <f>ROUND((ROUND((Source!AE30*Source!AV30*Source!I30),2)),2)</f>
        <v>1.01</v>
      </c>
      <c r="K86" s="10">
        <f>IF(Source!BS30&lt;&gt; 0, Source!BS30, 1)</f>
        <v>21.43</v>
      </c>
      <c r="L86" s="29">
        <f>Source!R30</f>
        <v>21.64</v>
      </c>
      <c r="W86">
        <f>J86</f>
        <v>1.01</v>
      </c>
    </row>
    <row r="87" spans="1:27" ht="14.4" x14ac:dyDescent="0.3">
      <c r="A87" s="22"/>
      <c r="B87" s="22"/>
      <c r="C87" s="23"/>
      <c r="D87" s="23" t="s">
        <v>309</v>
      </c>
      <c r="E87" s="24"/>
      <c r="F87" s="10"/>
      <c r="G87" s="26">
        <f>Source!AL30</f>
        <v>707</v>
      </c>
      <c r="H87" s="25" t="str">
        <f>Source!DD30</f>
        <v/>
      </c>
      <c r="I87" s="10">
        <f>Source!AW30</f>
        <v>1</v>
      </c>
      <c r="J87" s="27">
        <f>ROUND((ROUND((Source!AC30*Source!AW30*Source!I30),2)),2)</f>
        <v>1.7</v>
      </c>
      <c r="K87" s="10">
        <f>IF(Source!BC30&lt;&gt; 0, Source!BC30, 1)</f>
        <v>4.5599999999999996</v>
      </c>
      <c r="L87" s="27">
        <f>Source!P30</f>
        <v>7.75</v>
      </c>
    </row>
    <row r="88" spans="1:27" ht="14.4" x14ac:dyDescent="0.3">
      <c r="A88" s="22"/>
      <c r="B88" s="22"/>
      <c r="C88" s="23"/>
      <c r="D88" s="23" t="s">
        <v>303</v>
      </c>
      <c r="E88" s="24" t="s">
        <v>304</v>
      </c>
      <c r="F88" s="10">
        <f>Source!DN30</f>
        <v>98</v>
      </c>
      <c r="G88" s="26"/>
      <c r="H88" s="25"/>
      <c r="I88" s="10"/>
      <c r="J88" s="27">
        <f>SUM(Q83:Q87)</f>
        <v>0.32</v>
      </c>
      <c r="K88" s="10">
        <f>Source!BZ30</f>
        <v>92</v>
      </c>
      <c r="L88" s="27">
        <f>SUM(R83:R87)</f>
        <v>6.5</v>
      </c>
    </row>
    <row r="89" spans="1:27" ht="14.4" x14ac:dyDescent="0.3">
      <c r="A89" s="22"/>
      <c r="B89" s="22"/>
      <c r="C89" s="23"/>
      <c r="D89" s="23" t="s">
        <v>305</v>
      </c>
      <c r="E89" s="24" t="s">
        <v>304</v>
      </c>
      <c r="F89" s="10">
        <f>Source!DO30</f>
        <v>77</v>
      </c>
      <c r="G89" s="26"/>
      <c r="H89" s="25"/>
      <c r="I89" s="10"/>
      <c r="J89" s="27">
        <f>SUM(S83:S88)</f>
        <v>0.25</v>
      </c>
      <c r="K89" s="10">
        <f>Source!CA30</f>
        <v>50</v>
      </c>
      <c r="L89" s="27">
        <f>SUM(T83:T88)</f>
        <v>3.54</v>
      </c>
    </row>
    <row r="90" spans="1:27" ht="14.4" x14ac:dyDescent="0.3">
      <c r="A90" s="22"/>
      <c r="B90" s="22"/>
      <c r="C90" s="23"/>
      <c r="D90" s="23" t="s">
        <v>306</v>
      </c>
      <c r="E90" s="24" t="s">
        <v>304</v>
      </c>
      <c r="F90" s="10">
        <f>175</f>
        <v>175</v>
      </c>
      <c r="G90" s="26"/>
      <c r="H90" s="25"/>
      <c r="I90" s="10"/>
      <c r="J90" s="27">
        <f>SUM(U83:U89)</f>
        <v>1.77</v>
      </c>
      <c r="K90" s="10">
        <f>157</f>
        <v>157</v>
      </c>
      <c r="L90" s="27">
        <f>SUM(V83:V89)</f>
        <v>33.97</v>
      </c>
    </row>
    <row r="91" spans="1:27" ht="14.4" x14ac:dyDescent="0.3">
      <c r="A91" s="22"/>
      <c r="B91" s="22"/>
      <c r="C91" s="23"/>
      <c r="D91" s="23" t="s">
        <v>307</v>
      </c>
      <c r="E91" s="24" t="s">
        <v>308</v>
      </c>
      <c r="F91" s="10">
        <f>Source!AQ30</f>
        <v>12.2</v>
      </c>
      <c r="G91" s="26"/>
      <c r="H91" s="25" t="str">
        <f>Source!DI30</f>
        <v>)*1,15</v>
      </c>
      <c r="I91" s="10">
        <f>Source!AV30</f>
        <v>1.0469999999999999</v>
      </c>
      <c r="J91" s="27">
        <f>Source!U30</f>
        <v>3.5254583999999992E-2</v>
      </c>
      <c r="K91" s="10"/>
      <c r="L91" s="27"/>
    </row>
    <row r="92" spans="1:27" ht="13.8" x14ac:dyDescent="0.25">
      <c r="A92" s="31"/>
      <c r="B92" s="31"/>
      <c r="C92" s="31"/>
      <c r="D92" s="31"/>
      <c r="E92" s="31"/>
      <c r="F92" s="31"/>
      <c r="G92" s="31"/>
      <c r="H92" s="31"/>
      <c r="I92" s="61">
        <f>J84+J85+J87+J88+J89+J90</f>
        <v>9.33</v>
      </c>
      <c r="J92" s="61"/>
      <c r="K92" s="61">
        <f>L84+L85+L87+L88+L89+L90</f>
        <v>126.34000000000002</v>
      </c>
      <c r="L92" s="61"/>
      <c r="O92" s="30">
        <f>J84+J85+J87+J88+J89+J90</f>
        <v>9.33</v>
      </c>
      <c r="P92" s="30">
        <f>L84+L85+L87+L88+L89+L90</f>
        <v>126.34000000000002</v>
      </c>
      <c r="X92">
        <f>IF(Source!BI30&lt;=1,J84+J85+J87+J88+J89+J90-0, 0)</f>
        <v>9.33</v>
      </c>
      <c r="Y92">
        <f>IF(Source!BI30=2,J84+J85+J87+J88+J89+J90-0, 0)</f>
        <v>0</v>
      </c>
      <c r="Z92">
        <f>IF(Source!BI30=3,J84+J85+J87+J88+J89+J90-0, 0)</f>
        <v>0</v>
      </c>
      <c r="AA92">
        <f>IF(Source!BI30=4,J84+J85+J87+J88+J89+J90,0)</f>
        <v>0</v>
      </c>
    </row>
    <row r="93" spans="1:27" ht="55.2" x14ac:dyDescent="0.3">
      <c r="A93" s="22">
        <v>8</v>
      </c>
      <c r="B93" s="22" t="str">
        <f>Source!E31</f>
        <v>6</v>
      </c>
      <c r="C93" s="23" t="str">
        <f>Source!F31</f>
        <v>3.27-42-1</v>
      </c>
      <c r="D93" s="23" t="s">
        <v>70</v>
      </c>
      <c r="E93" s="24" t="str">
        <f>Source!H31</f>
        <v>100 м2</v>
      </c>
      <c r="F93" s="10">
        <f>Source!I31</f>
        <v>1.1999999999999999E-3</v>
      </c>
      <c r="G93" s="26"/>
      <c r="H93" s="25"/>
      <c r="I93" s="10"/>
      <c r="J93" s="27"/>
      <c r="K93" s="10"/>
      <c r="L93" s="27"/>
      <c r="Q93">
        <f>ROUND((Source!DN31/100)*ROUND((ROUND((Source!AF31*Source!AV31*Source!I31),2)),2), 2)</f>
        <v>0.11</v>
      </c>
      <c r="R93">
        <f>Source!X31</f>
        <v>2.2000000000000002</v>
      </c>
      <c r="S93">
        <f>ROUND((Source!DO31/100)*ROUND((ROUND((Source!AF31*Source!AV31*Source!I31),2)),2), 2)</f>
        <v>0.06</v>
      </c>
      <c r="T93">
        <f>Source!Y31</f>
        <v>0.8</v>
      </c>
      <c r="U93">
        <f>ROUND((175/100)*ROUND((ROUND((Source!AE31*Source!AV31*Source!I31),2)),2), 2)</f>
        <v>0.16</v>
      </c>
      <c r="V93">
        <f>ROUND((157/100)*ROUND(ROUND((ROUND((Source!AE31*Source!AV31*Source!I31),2)*Source!BS31),2), 2), 2)</f>
        <v>3.47</v>
      </c>
    </row>
    <row r="94" spans="1:27" ht="14.4" x14ac:dyDescent="0.3">
      <c r="A94" s="22"/>
      <c r="B94" s="22"/>
      <c r="C94" s="23"/>
      <c r="D94" s="23" t="s">
        <v>300</v>
      </c>
      <c r="E94" s="24"/>
      <c r="F94" s="10"/>
      <c r="G94" s="26">
        <f>Source!AO31</f>
        <v>52.17</v>
      </c>
      <c r="H94" s="25" t="str">
        <f>Source!DG31</f>
        <v>)*1,15</v>
      </c>
      <c r="I94" s="10">
        <f>Source!AV31</f>
        <v>1.0469999999999999</v>
      </c>
      <c r="J94" s="27">
        <f>ROUND((ROUND((Source!AF31*Source!AV31*Source!I31),2)),2)</f>
        <v>0.08</v>
      </c>
      <c r="K94" s="10">
        <f>IF(Source!BA31&lt;&gt; 0, Source!BA31, 1)</f>
        <v>24.53</v>
      </c>
      <c r="L94" s="27">
        <f>Source!S31</f>
        <v>1.96</v>
      </c>
      <c r="W94">
        <f>J94</f>
        <v>0.08</v>
      </c>
    </row>
    <row r="95" spans="1:27" ht="14.4" x14ac:dyDescent="0.3">
      <c r="A95" s="22"/>
      <c r="B95" s="22"/>
      <c r="C95" s="23"/>
      <c r="D95" s="23" t="s">
        <v>301</v>
      </c>
      <c r="E95" s="24"/>
      <c r="F95" s="10"/>
      <c r="G95" s="26">
        <f>Source!AM31</f>
        <v>498.47</v>
      </c>
      <c r="H95" s="25" t="str">
        <f>Source!DE31</f>
        <v>)*1,15</v>
      </c>
      <c r="I95" s="10">
        <f>Source!AV31</f>
        <v>1.0469999999999999</v>
      </c>
      <c r="J95" s="27">
        <f>(ROUND((ROUND((((Source!ET31*1.15))*Source!AV31*Source!I31),2)),2)+ROUND((ROUND(((Source!AE31-((Source!EU31*1.15)))*Source!AV31*Source!I31),2)),2))</f>
        <v>0.72</v>
      </c>
      <c r="K95" s="10">
        <f>IF(Source!BB31&lt;&gt; 0, Source!BB31, 1)</f>
        <v>9.32</v>
      </c>
      <c r="L95" s="27">
        <f>Source!Q31</f>
        <v>6.71</v>
      </c>
    </row>
    <row r="96" spans="1:27" ht="14.4" x14ac:dyDescent="0.3">
      <c r="A96" s="22"/>
      <c r="B96" s="22"/>
      <c r="C96" s="23"/>
      <c r="D96" s="23" t="s">
        <v>302</v>
      </c>
      <c r="E96" s="24"/>
      <c r="F96" s="10"/>
      <c r="G96" s="26">
        <f>Source!AN31</f>
        <v>62.11</v>
      </c>
      <c r="H96" s="25" t="str">
        <f>Source!DF31</f>
        <v>)*1,15</v>
      </c>
      <c r="I96" s="10">
        <f>Source!AV31</f>
        <v>1.0469999999999999</v>
      </c>
      <c r="J96" s="29">
        <f>ROUND((ROUND((Source!AE31*Source!AV31*Source!I31),2)),2)</f>
        <v>0.09</v>
      </c>
      <c r="K96" s="10">
        <f>IF(Source!BS31&lt;&gt; 0, Source!BS31, 1)</f>
        <v>24.53</v>
      </c>
      <c r="L96" s="29">
        <f>Source!R31</f>
        <v>2.21</v>
      </c>
      <c r="W96">
        <f>J96</f>
        <v>0.09</v>
      </c>
    </row>
    <row r="97" spans="1:27" ht="14.4" x14ac:dyDescent="0.3">
      <c r="A97" s="22"/>
      <c r="B97" s="22"/>
      <c r="C97" s="23"/>
      <c r="D97" s="23" t="s">
        <v>309</v>
      </c>
      <c r="E97" s="24"/>
      <c r="F97" s="10"/>
      <c r="G97" s="26">
        <f>Source!AL31</f>
        <v>57.83</v>
      </c>
      <c r="H97" s="25" t="str">
        <f>Source!DD31</f>
        <v/>
      </c>
      <c r="I97" s="10">
        <f>Source!AW31</f>
        <v>1</v>
      </c>
      <c r="J97" s="27">
        <f>ROUND((ROUND((Source!AC31*Source!AW31*Source!I31),2)),2)</f>
        <v>7.0000000000000007E-2</v>
      </c>
      <c r="K97" s="10">
        <f>IF(Source!BC31&lt;&gt; 0, Source!BC31, 1)</f>
        <v>9.35</v>
      </c>
      <c r="L97" s="27">
        <f>Source!P31</f>
        <v>0.65</v>
      </c>
    </row>
    <row r="98" spans="1:27" ht="41.4" x14ac:dyDescent="0.3">
      <c r="A98" s="22">
        <v>9</v>
      </c>
      <c r="B98" s="22" t="str">
        <f>Source!E32</f>
        <v>6,1</v>
      </c>
      <c r="C98" s="23" t="str">
        <f>Source!F32</f>
        <v>1.3-3-3</v>
      </c>
      <c r="D98" s="23" t="s">
        <v>77</v>
      </c>
      <c r="E98" s="24" t="str">
        <f>Source!H32</f>
        <v>т</v>
      </c>
      <c r="F98" s="10">
        <f>Source!I32</f>
        <v>0.28799999999999998</v>
      </c>
      <c r="G98" s="26">
        <f>Source!AK32</f>
        <v>296.7</v>
      </c>
      <c r="H98" s="32" t="s">
        <v>3</v>
      </c>
      <c r="I98" s="10">
        <f>Source!AW32</f>
        <v>1</v>
      </c>
      <c r="J98" s="27">
        <f>ROUND((ROUND((Source!AC32*Source!AW32*Source!I32),2)),2)+(ROUND((ROUND(((Source!ET32)*Source!AV32*Source!I32),2)),2)+ROUND((ROUND(((Source!AE32-(Source!EU32))*Source!AV32*Source!I32),2)),2))+ROUND((ROUND((Source!AF32*Source!AV32*Source!I32),2)),2)</f>
        <v>85.45</v>
      </c>
      <c r="K98" s="10">
        <f>IF(Source!BC32&lt;&gt; 0, Source!BC32, 1)</f>
        <v>9.08</v>
      </c>
      <c r="L98" s="27">
        <f>Source!O32</f>
        <v>775.89</v>
      </c>
      <c r="Q98">
        <f>ROUND((Source!DN32/100)*ROUND((ROUND((Source!AF32*Source!AV32*Source!I32),2)),2), 2)</f>
        <v>0</v>
      </c>
      <c r="R98">
        <f>Source!X32</f>
        <v>0</v>
      </c>
      <c r="S98">
        <f>ROUND((Source!DO32/100)*ROUND((ROUND((Source!AF32*Source!AV32*Source!I32),2)),2), 2)</f>
        <v>0</v>
      </c>
      <c r="T98">
        <f>Source!Y32</f>
        <v>0</v>
      </c>
      <c r="U98">
        <f>ROUND((175/100)*ROUND((ROUND((Source!AE32*Source!AV32*Source!I32),2)),2), 2)</f>
        <v>0</v>
      </c>
      <c r="V98">
        <f>ROUND((157/100)*ROUND(ROUND((ROUND((Source!AE32*Source!AV32*Source!I32),2)*Source!BS32),2), 2), 2)</f>
        <v>0</v>
      </c>
      <c r="X98">
        <f>IF(Source!BI32&lt;=1,J98, 0)</f>
        <v>85.45</v>
      </c>
      <c r="Y98">
        <f>IF(Source!BI32=2,J98, 0)</f>
        <v>0</v>
      </c>
      <c r="Z98">
        <f>IF(Source!BI32=3,J98, 0)</f>
        <v>0</v>
      </c>
      <c r="AA98">
        <f>IF(Source!BI32=4,J98, 0)</f>
        <v>0</v>
      </c>
    </row>
    <row r="99" spans="1:27" ht="14.4" x14ac:dyDescent="0.3">
      <c r="A99" s="22"/>
      <c r="B99" s="22"/>
      <c r="C99" s="23"/>
      <c r="D99" s="23" t="s">
        <v>303</v>
      </c>
      <c r="E99" s="24" t="s">
        <v>304</v>
      </c>
      <c r="F99" s="10">
        <f>Source!DN31</f>
        <v>140</v>
      </c>
      <c r="G99" s="26"/>
      <c r="H99" s="25"/>
      <c r="I99" s="10"/>
      <c r="J99" s="27">
        <f>SUM(Q93:Q98)</f>
        <v>0.11</v>
      </c>
      <c r="K99" s="10">
        <f>Source!BZ31</f>
        <v>112</v>
      </c>
      <c r="L99" s="27">
        <f>SUM(R93:R98)</f>
        <v>2.2000000000000002</v>
      </c>
    </row>
    <row r="100" spans="1:27" ht="14.4" x14ac:dyDescent="0.3">
      <c r="A100" s="22"/>
      <c r="B100" s="22"/>
      <c r="C100" s="23"/>
      <c r="D100" s="23" t="s">
        <v>305</v>
      </c>
      <c r="E100" s="24" t="s">
        <v>304</v>
      </c>
      <c r="F100" s="10">
        <f>Source!DO31</f>
        <v>79</v>
      </c>
      <c r="G100" s="26"/>
      <c r="H100" s="25"/>
      <c r="I100" s="10"/>
      <c r="J100" s="27">
        <f>SUM(S93:S99)</f>
        <v>0.06</v>
      </c>
      <c r="K100" s="10">
        <f>Source!CA31</f>
        <v>41</v>
      </c>
      <c r="L100" s="27">
        <f>SUM(T93:T99)</f>
        <v>0.8</v>
      </c>
    </row>
    <row r="101" spans="1:27" ht="14.4" x14ac:dyDescent="0.3">
      <c r="A101" s="22"/>
      <c r="B101" s="22"/>
      <c r="C101" s="23"/>
      <c r="D101" s="23" t="s">
        <v>306</v>
      </c>
      <c r="E101" s="24" t="s">
        <v>304</v>
      </c>
      <c r="F101" s="10">
        <f>175</f>
        <v>175</v>
      </c>
      <c r="G101" s="26"/>
      <c r="H101" s="25"/>
      <c r="I101" s="10"/>
      <c r="J101" s="27">
        <f>SUM(U93:U100)</f>
        <v>0.16</v>
      </c>
      <c r="K101" s="10">
        <f>157</f>
        <v>157</v>
      </c>
      <c r="L101" s="27">
        <f>SUM(V93:V100)</f>
        <v>3.47</v>
      </c>
    </row>
    <row r="102" spans="1:27" ht="14.4" x14ac:dyDescent="0.3">
      <c r="A102" s="22"/>
      <c r="B102" s="22"/>
      <c r="C102" s="23"/>
      <c r="D102" s="23" t="s">
        <v>307</v>
      </c>
      <c r="E102" s="24" t="s">
        <v>308</v>
      </c>
      <c r="F102" s="10">
        <f>Source!AQ31</f>
        <v>4.29</v>
      </c>
      <c r="G102" s="26"/>
      <c r="H102" s="25" t="str">
        <f>Source!DI31</f>
        <v>)*1,15</v>
      </c>
      <c r="I102" s="10">
        <f>Source!AV31</f>
        <v>1.0469999999999999</v>
      </c>
      <c r="J102" s="27">
        <f>Source!U31</f>
        <v>6.1984493999999992E-3</v>
      </c>
      <c r="K102" s="10"/>
      <c r="L102" s="27"/>
    </row>
    <row r="103" spans="1:27" ht="13.8" x14ac:dyDescent="0.25">
      <c r="A103" s="31"/>
      <c r="B103" s="31"/>
      <c r="C103" s="31"/>
      <c r="D103" s="31"/>
      <c r="E103" s="31"/>
      <c r="F103" s="31"/>
      <c r="G103" s="31"/>
      <c r="H103" s="31"/>
      <c r="I103" s="61">
        <f>J94+J95+J97+J99+J100+J101+SUM(J98:J98)</f>
        <v>86.65</v>
      </c>
      <c r="J103" s="61"/>
      <c r="K103" s="61">
        <f>L94+L95+L97+L99+L100+L101+SUM(L98:L98)</f>
        <v>791.68</v>
      </c>
      <c r="L103" s="61"/>
      <c r="O103" s="30">
        <f>J94+J95+J97+J99+J100+J101+SUM(J98:J98)</f>
        <v>86.65</v>
      </c>
      <c r="P103" s="30">
        <f>L94+L95+L97+L99+L100+L101+SUM(L98:L98)</f>
        <v>791.68</v>
      </c>
      <c r="X103">
        <f>IF(Source!BI31&lt;=1,J94+J95+J97+J99+J100+J101-0, 0)</f>
        <v>1.1999999999999997</v>
      </c>
      <c r="Y103">
        <f>IF(Source!BI31=2,J94+J95+J97+J99+J100+J101-0, 0)</f>
        <v>0</v>
      </c>
      <c r="Z103">
        <f>IF(Source!BI31=3,J94+J95+J97+J99+J100+J101-0, 0)</f>
        <v>0</v>
      </c>
      <c r="AA103">
        <f>IF(Source!BI31=4,J94+J95+J97+J99+J100+J101,0)</f>
        <v>0</v>
      </c>
    </row>
    <row r="104" spans="1:27" ht="27.6" x14ac:dyDescent="0.3">
      <c r="A104" s="22">
        <v>10</v>
      </c>
      <c r="B104" s="22" t="str">
        <f>Source!E33</f>
        <v>7</v>
      </c>
      <c r="C104" s="23" t="str">
        <f>Source!F33</f>
        <v>6.68-53-1</v>
      </c>
      <c r="D104" s="23" t="s">
        <v>82</v>
      </c>
      <c r="E104" s="24" t="str">
        <f>Source!H33</f>
        <v>100 м</v>
      </c>
      <c r="F104" s="10">
        <f>Source!I33</f>
        <v>1.3</v>
      </c>
      <c r="G104" s="26"/>
      <c r="H104" s="25"/>
      <c r="I104" s="10"/>
      <c r="J104" s="27"/>
      <c r="K104" s="10"/>
      <c r="L104" s="27"/>
      <c r="Q104">
        <f>ROUND((Source!DN33/100)*ROUND((ROUND((Source!AF33*Source!AV33*Source!I33),2)),2), 2)</f>
        <v>1120.47</v>
      </c>
      <c r="R104">
        <f>Source!X33</f>
        <v>20657.580000000002</v>
      </c>
      <c r="S104">
        <f>ROUND((Source!DO33/100)*ROUND((ROUND((Source!AF33*Source!AV33*Source!I33),2)),2), 2)</f>
        <v>770.32</v>
      </c>
      <c r="T104">
        <f>Source!Y33</f>
        <v>12455.31</v>
      </c>
      <c r="U104">
        <f>ROUND((175/100)*ROUND((ROUND((Source!AE33*Source!AV33*Source!I33),2)),2), 2)</f>
        <v>0</v>
      </c>
      <c r="V104">
        <f>ROUND((157/100)*ROUND(ROUND((ROUND((Source!AE33*Source!AV33*Source!I33),2)*Source!BS33),2), 2), 2)</f>
        <v>0</v>
      </c>
    </row>
    <row r="105" spans="1:27" x14ac:dyDescent="0.25">
      <c r="D105" s="28" t="str">
        <f>"Объем: "&amp;Source!I33&amp;"=65*"&amp;"2/"&amp;"100"</f>
        <v>Объем: 1,3=65*2/100</v>
      </c>
    </row>
    <row r="106" spans="1:27" ht="14.4" x14ac:dyDescent="0.3">
      <c r="A106" s="22"/>
      <c r="B106" s="22"/>
      <c r="C106" s="23"/>
      <c r="D106" s="23" t="s">
        <v>300</v>
      </c>
      <c r="E106" s="24"/>
      <c r="F106" s="10"/>
      <c r="G106" s="26">
        <f>Source!AO33</f>
        <v>857.51</v>
      </c>
      <c r="H106" s="25" t="str">
        <f>Source!DG33</f>
        <v>)*1,2</v>
      </c>
      <c r="I106" s="10">
        <f>Source!AV33</f>
        <v>1.0469999999999999</v>
      </c>
      <c r="J106" s="27">
        <f>ROUND((ROUND((Source!AF33*Source!AV33*Source!I33),2)),2)</f>
        <v>1400.59</v>
      </c>
      <c r="K106" s="10">
        <f>IF(Source!BA33&lt;&gt; 0, Source!BA33, 1)</f>
        <v>21.69</v>
      </c>
      <c r="L106" s="27">
        <f>Source!S33</f>
        <v>30378.799999999999</v>
      </c>
      <c r="W106">
        <f>J106</f>
        <v>1400.59</v>
      </c>
    </row>
    <row r="107" spans="1:27" ht="14.4" x14ac:dyDescent="0.3">
      <c r="A107" s="22"/>
      <c r="B107" s="22"/>
      <c r="C107" s="23"/>
      <c r="D107" s="23" t="s">
        <v>303</v>
      </c>
      <c r="E107" s="24" t="s">
        <v>304</v>
      </c>
      <c r="F107" s="10">
        <f>Source!DN33</f>
        <v>80</v>
      </c>
      <c r="G107" s="26"/>
      <c r="H107" s="25"/>
      <c r="I107" s="10"/>
      <c r="J107" s="27">
        <f>SUM(Q104:Q106)</f>
        <v>1120.47</v>
      </c>
      <c r="K107" s="10">
        <f>Source!BZ33</f>
        <v>68</v>
      </c>
      <c r="L107" s="27">
        <f>SUM(R104:R106)</f>
        <v>20657.580000000002</v>
      </c>
    </row>
    <row r="108" spans="1:27" ht="14.4" x14ac:dyDescent="0.3">
      <c r="A108" s="22"/>
      <c r="B108" s="22"/>
      <c r="C108" s="23"/>
      <c r="D108" s="23" t="s">
        <v>305</v>
      </c>
      <c r="E108" s="24" t="s">
        <v>304</v>
      </c>
      <c r="F108" s="10">
        <f>Source!DO33</f>
        <v>55</v>
      </c>
      <c r="G108" s="26"/>
      <c r="H108" s="25"/>
      <c r="I108" s="10"/>
      <c r="J108" s="27">
        <f>SUM(S104:S107)</f>
        <v>770.32</v>
      </c>
      <c r="K108" s="10">
        <f>Source!CA33</f>
        <v>41</v>
      </c>
      <c r="L108" s="27">
        <f>SUM(T104:T107)</f>
        <v>12455.31</v>
      </c>
    </row>
    <row r="109" spans="1:27" ht="14.4" x14ac:dyDescent="0.3">
      <c r="A109" s="22"/>
      <c r="B109" s="22"/>
      <c r="C109" s="23"/>
      <c r="D109" s="23" t="s">
        <v>307</v>
      </c>
      <c r="E109" s="24" t="s">
        <v>308</v>
      </c>
      <c r="F109" s="10">
        <f>Source!AQ33</f>
        <v>76.7</v>
      </c>
      <c r="G109" s="26"/>
      <c r="H109" s="25" t="str">
        <f>Source!DI33</f>
        <v>)*1,2</v>
      </c>
      <c r="I109" s="10">
        <f>Source!AV33</f>
        <v>1.0469999999999999</v>
      </c>
      <c r="J109" s="27">
        <f>Source!U33</f>
        <v>125.27564400000001</v>
      </c>
      <c r="K109" s="10"/>
      <c r="L109" s="27"/>
    </row>
    <row r="110" spans="1:27" ht="13.8" x14ac:dyDescent="0.25">
      <c r="A110" s="31"/>
      <c r="B110" s="31"/>
      <c r="C110" s="31"/>
      <c r="D110" s="31"/>
      <c r="E110" s="31"/>
      <c r="F110" s="31"/>
      <c r="G110" s="31"/>
      <c r="H110" s="31"/>
      <c r="I110" s="61">
        <f>J106+J107+J108</f>
        <v>3291.38</v>
      </c>
      <c r="J110" s="61"/>
      <c r="K110" s="61">
        <f>L106+L107+L108</f>
        <v>63491.69</v>
      </c>
      <c r="L110" s="61"/>
      <c r="O110" s="30">
        <f>J106+J107+J108</f>
        <v>3291.38</v>
      </c>
      <c r="P110" s="30">
        <f>L106+L107+L108</f>
        <v>63491.69</v>
      </c>
      <c r="X110">
        <f>IF(Source!BI33&lt;=1,J106+J107+J108-0, 0)</f>
        <v>3291.38</v>
      </c>
      <c r="Y110">
        <f>IF(Source!BI33=2,J106+J107+J108-0, 0)</f>
        <v>0</v>
      </c>
      <c r="Z110">
        <f>IF(Source!BI33=3,J106+J107+J108-0, 0)</f>
        <v>0</v>
      </c>
      <c r="AA110">
        <f>IF(Source!BI33=4,J106+J107+J108,0)</f>
        <v>0</v>
      </c>
    </row>
    <row r="111" spans="1:27" ht="41.4" x14ac:dyDescent="0.3">
      <c r="A111" s="22">
        <v>11</v>
      </c>
      <c r="B111" s="22" t="str">
        <f>Source!E34</f>
        <v>8</v>
      </c>
      <c r="C111" s="23" t="str">
        <f>Source!F34</f>
        <v>3.27-26-6</v>
      </c>
      <c r="D111" s="23" t="s">
        <v>89</v>
      </c>
      <c r="E111" s="24" t="str">
        <f>Source!H34</f>
        <v>100 м</v>
      </c>
      <c r="F111" s="10">
        <f>Source!I34</f>
        <v>0.1</v>
      </c>
      <c r="G111" s="26"/>
      <c r="H111" s="25"/>
      <c r="I111" s="10"/>
      <c r="J111" s="27"/>
      <c r="K111" s="10"/>
      <c r="L111" s="27"/>
      <c r="Q111">
        <f>ROUND((Source!DN34/100)*ROUND((ROUND((Source!AF34*Source!AV34*Source!I34),2)),2), 2)</f>
        <v>136.09</v>
      </c>
      <c r="R111">
        <f>Source!X34</f>
        <v>2401.83</v>
      </c>
      <c r="S111">
        <f>ROUND((Source!DO34/100)*ROUND((ROUND((Source!AF34*Source!AV34*Source!I34),2)),2), 2)</f>
        <v>90.45</v>
      </c>
      <c r="T111">
        <f>Source!Y34</f>
        <v>990.07</v>
      </c>
      <c r="U111">
        <f>ROUND((175/100)*ROUND((ROUND((Source!AE34*Source!AV34*Source!I34),2)),2), 2)</f>
        <v>2.19</v>
      </c>
      <c r="V111">
        <f>ROUND((157/100)*ROUND(ROUND((ROUND((Source!AE34*Source!AV34*Source!I34),2)*Source!BS34),2), 2), 2)</f>
        <v>42.56</v>
      </c>
    </row>
    <row r="112" spans="1:27" x14ac:dyDescent="0.25">
      <c r="D112" s="28" t="str">
        <f>"Объем: "&amp;Source!I34&amp;"=10/"&amp;"100"</f>
        <v>Объем: 0,1=10/100</v>
      </c>
    </row>
    <row r="113" spans="1:27" ht="14.4" x14ac:dyDescent="0.3">
      <c r="A113" s="22"/>
      <c r="B113" s="22"/>
      <c r="C113" s="23"/>
      <c r="D113" s="23" t="s">
        <v>300</v>
      </c>
      <c r="E113" s="24"/>
      <c r="F113" s="10"/>
      <c r="G113" s="26">
        <f>Source!AO34</f>
        <v>702.01</v>
      </c>
      <c r="H113" s="25" t="str">
        <f>Source!DG34</f>
        <v>)*1,15</v>
      </c>
      <c r="I113" s="10">
        <f>Source!AV34</f>
        <v>1.0469999999999999</v>
      </c>
      <c r="J113" s="27">
        <f>ROUND((ROUND((Source!AF34*Source!AV34*Source!I34),2)),2)</f>
        <v>84.53</v>
      </c>
      <c r="K113" s="10">
        <f>IF(Source!BA34&lt;&gt; 0, Source!BA34, 1)</f>
        <v>21.69</v>
      </c>
      <c r="L113" s="27">
        <f>Source!S34</f>
        <v>1833.46</v>
      </c>
      <c r="W113">
        <f>J113</f>
        <v>84.53</v>
      </c>
    </row>
    <row r="114" spans="1:27" ht="14.4" x14ac:dyDescent="0.3">
      <c r="A114" s="22"/>
      <c r="B114" s="22"/>
      <c r="C114" s="23"/>
      <c r="D114" s="23" t="s">
        <v>301</v>
      </c>
      <c r="E114" s="24"/>
      <c r="F114" s="10"/>
      <c r="G114" s="26">
        <f>Source!AM34</f>
        <v>40.78</v>
      </c>
      <c r="H114" s="25" t="str">
        <f>Source!DE34</f>
        <v>)*1,15</v>
      </c>
      <c r="I114" s="10">
        <f>Source!AV34</f>
        <v>1.0469999999999999</v>
      </c>
      <c r="J114" s="27">
        <f>(ROUND((ROUND((((Source!ET34*1.15))*Source!AV34*Source!I34),2)),2)+ROUND((ROUND(((Source!AE34-((Source!EU34*1.15)))*Source!AV34*Source!I34),2)),2))</f>
        <v>4.91</v>
      </c>
      <c r="K114" s="10">
        <f>IF(Source!BB34&lt;&gt; 0, Source!BB34, 1)</f>
        <v>9.0399999999999991</v>
      </c>
      <c r="L114" s="27">
        <f>Source!Q34</f>
        <v>44.39</v>
      </c>
    </row>
    <row r="115" spans="1:27" ht="14.4" x14ac:dyDescent="0.3">
      <c r="A115" s="22"/>
      <c r="B115" s="22"/>
      <c r="C115" s="23"/>
      <c r="D115" s="23" t="s">
        <v>302</v>
      </c>
      <c r="E115" s="24"/>
      <c r="F115" s="10"/>
      <c r="G115" s="26">
        <f>Source!AN34</f>
        <v>10.38</v>
      </c>
      <c r="H115" s="25" t="str">
        <f>Source!DF34</f>
        <v>)*1,15</v>
      </c>
      <c r="I115" s="10">
        <f>Source!AV34</f>
        <v>1.0469999999999999</v>
      </c>
      <c r="J115" s="29">
        <f>ROUND((ROUND((Source!AE34*Source!AV34*Source!I34),2)),2)</f>
        <v>1.25</v>
      </c>
      <c r="K115" s="10">
        <f>IF(Source!BS34&lt;&gt; 0, Source!BS34, 1)</f>
        <v>21.69</v>
      </c>
      <c r="L115" s="29">
        <f>Source!R34</f>
        <v>27.11</v>
      </c>
      <c r="W115">
        <f>J115</f>
        <v>1.25</v>
      </c>
    </row>
    <row r="116" spans="1:27" ht="14.4" x14ac:dyDescent="0.3">
      <c r="A116" s="22"/>
      <c r="B116" s="22"/>
      <c r="C116" s="23"/>
      <c r="D116" s="23" t="s">
        <v>309</v>
      </c>
      <c r="E116" s="24"/>
      <c r="F116" s="10"/>
      <c r="G116" s="26">
        <f>Source!AL34</f>
        <v>3709.87</v>
      </c>
      <c r="H116" s="25" t="str">
        <f>Source!DD34</f>
        <v/>
      </c>
      <c r="I116" s="10">
        <f>Source!AW34</f>
        <v>1.03</v>
      </c>
      <c r="J116" s="27">
        <f>ROUND((ROUND((Source!AC34*Source!AW34*Source!I34),2)),2)</f>
        <v>382.12</v>
      </c>
      <c r="K116" s="10">
        <f>IF(Source!BC34&lt;&gt; 0, Source!BC34, 1)</f>
        <v>5.14</v>
      </c>
      <c r="L116" s="27">
        <f>Source!P34</f>
        <v>1964.1</v>
      </c>
    </row>
    <row r="117" spans="1:27" ht="41.4" x14ac:dyDescent="0.3">
      <c r="A117" s="22">
        <v>12</v>
      </c>
      <c r="B117" s="22" t="str">
        <f>Source!E35</f>
        <v>8,1</v>
      </c>
      <c r="C117" s="23" t="str">
        <f>Source!F35</f>
        <v>1.5-3-404</v>
      </c>
      <c r="D117" s="23" t="s">
        <v>95</v>
      </c>
      <c r="E117" s="24" t="str">
        <f>Source!H35</f>
        <v>м3</v>
      </c>
      <c r="F117" s="10">
        <f>Source!I35</f>
        <v>0.32</v>
      </c>
      <c r="G117" s="26">
        <f>Source!AK35</f>
        <v>4406.71</v>
      </c>
      <c r="H117" s="32" t="s">
        <v>3</v>
      </c>
      <c r="I117" s="10">
        <f>Source!AW35</f>
        <v>1.03</v>
      </c>
      <c r="J117" s="27">
        <f>ROUND((ROUND((Source!AC35*Source!AW35*Source!I35),2)),2)+(ROUND((ROUND(((Source!ET35)*Source!AV35*Source!I35),2)),2)+ROUND((ROUND(((Source!AE35-(Source!EU35))*Source!AV35*Source!I35),2)),2))+ROUND((ROUND((Source!AF35*Source!AV35*Source!I35),2)),2)</f>
        <v>1452.45</v>
      </c>
      <c r="K117" s="10">
        <f>IF(Source!BC35&lt;&gt; 0, Source!BC35, 1)</f>
        <v>3.01</v>
      </c>
      <c r="L117" s="27">
        <f>Source!O35</f>
        <v>4371.87</v>
      </c>
      <c r="Q117">
        <f>ROUND((Source!DN35/100)*ROUND((ROUND((Source!AF35*Source!AV35*Source!I35),2)),2), 2)</f>
        <v>0</v>
      </c>
      <c r="R117">
        <f>Source!X35</f>
        <v>0</v>
      </c>
      <c r="S117">
        <f>ROUND((Source!DO35/100)*ROUND((ROUND((Source!AF35*Source!AV35*Source!I35),2)),2), 2)</f>
        <v>0</v>
      </c>
      <c r="T117">
        <f>Source!Y35</f>
        <v>0</v>
      </c>
      <c r="U117">
        <f>ROUND((175/100)*ROUND((ROUND((Source!AE35*Source!AV35*Source!I35),2)),2), 2)</f>
        <v>0</v>
      </c>
      <c r="V117">
        <f>ROUND((157/100)*ROUND(ROUND((ROUND((Source!AE35*Source!AV35*Source!I35),2)*Source!BS35),2), 2), 2)</f>
        <v>0</v>
      </c>
      <c r="X117">
        <f>IF(Source!BI35&lt;=1,J117, 0)</f>
        <v>1452.45</v>
      </c>
      <c r="Y117">
        <f>IF(Source!BI35=2,J117, 0)</f>
        <v>0</v>
      </c>
      <c r="Z117">
        <f>IF(Source!BI35=3,J117, 0)</f>
        <v>0</v>
      </c>
      <c r="AA117">
        <f>IF(Source!BI35=4,J117, 0)</f>
        <v>0</v>
      </c>
    </row>
    <row r="118" spans="1:27" ht="14.4" x14ac:dyDescent="0.3">
      <c r="A118" s="22"/>
      <c r="B118" s="22"/>
      <c r="C118" s="23"/>
      <c r="D118" s="23" t="s">
        <v>303</v>
      </c>
      <c r="E118" s="24" t="s">
        <v>304</v>
      </c>
      <c r="F118" s="10">
        <f>Source!DN34</f>
        <v>161</v>
      </c>
      <c r="G118" s="26"/>
      <c r="H118" s="25"/>
      <c r="I118" s="10"/>
      <c r="J118" s="27">
        <f>SUM(Q111:Q117)</f>
        <v>136.09</v>
      </c>
      <c r="K118" s="10">
        <f>Source!BZ34</f>
        <v>131</v>
      </c>
      <c r="L118" s="27">
        <f>SUM(R111:R117)</f>
        <v>2401.83</v>
      </c>
    </row>
    <row r="119" spans="1:27" ht="14.4" x14ac:dyDescent="0.3">
      <c r="A119" s="22"/>
      <c r="B119" s="22"/>
      <c r="C119" s="23"/>
      <c r="D119" s="23" t="s">
        <v>305</v>
      </c>
      <c r="E119" s="24" t="s">
        <v>304</v>
      </c>
      <c r="F119" s="10">
        <f>Source!DO34</f>
        <v>107</v>
      </c>
      <c r="G119" s="26"/>
      <c r="H119" s="25"/>
      <c r="I119" s="10"/>
      <c r="J119" s="27">
        <f>SUM(S111:S118)</f>
        <v>90.45</v>
      </c>
      <c r="K119" s="10">
        <f>Source!CA34</f>
        <v>54</v>
      </c>
      <c r="L119" s="27">
        <f>SUM(T111:T118)</f>
        <v>990.07</v>
      </c>
    </row>
    <row r="120" spans="1:27" ht="14.4" x14ac:dyDescent="0.3">
      <c r="A120" s="22"/>
      <c r="B120" s="22"/>
      <c r="C120" s="23"/>
      <c r="D120" s="23" t="s">
        <v>306</v>
      </c>
      <c r="E120" s="24" t="s">
        <v>304</v>
      </c>
      <c r="F120" s="10">
        <f>175</f>
        <v>175</v>
      </c>
      <c r="G120" s="26"/>
      <c r="H120" s="25"/>
      <c r="I120" s="10"/>
      <c r="J120" s="27">
        <f>SUM(U111:U119)</f>
        <v>2.19</v>
      </c>
      <c r="K120" s="10">
        <f>157</f>
        <v>157</v>
      </c>
      <c r="L120" s="27">
        <f>SUM(V111:V119)</f>
        <v>42.56</v>
      </c>
    </row>
    <row r="121" spans="1:27" ht="14.4" x14ac:dyDescent="0.3">
      <c r="A121" s="22"/>
      <c r="B121" s="22"/>
      <c r="C121" s="23"/>
      <c r="D121" s="23" t="s">
        <v>307</v>
      </c>
      <c r="E121" s="24" t="s">
        <v>308</v>
      </c>
      <c r="F121" s="10">
        <f>Source!AQ34</f>
        <v>63.44</v>
      </c>
      <c r="G121" s="26"/>
      <c r="H121" s="25" t="str">
        <f>Source!DI34</f>
        <v>)*1,15</v>
      </c>
      <c r="I121" s="10">
        <f>Source!AV34</f>
        <v>1.0469999999999999</v>
      </c>
      <c r="J121" s="27">
        <f>Source!U34</f>
        <v>7.6384931999999983</v>
      </c>
      <c r="K121" s="10"/>
      <c r="L121" s="27"/>
    </row>
    <row r="122" spans="1:27" ht="13.8" x14ac:dyDescent="0.25">
      <c r="A122" s="31"/>
      <c r="B122" s="31"/>
      <c r="C122" s="31"/>
      <c r="D122" s="31"/>
      <c r="E122" s="31"/>
      <c r="F122" s="31"/>
      <c r="G122" s="31"/>
      <c r="H122" s="31"/>
      <c r="I122" s="61">
        <f>J113+J114+J116+J118+J119+J120+SUM(J117:J117)</f>
        <v>2152.7400000000002</v>
      </c>
      <c r="J122" s="61"/>
      <c r="K122" s="61">
        <f>L113+L114+L116+L118+L119+L120+SUM(L117:L117)</f>
        <v>11648.279999999999</v>
      </c>
      <c r="L122" s="61"/>
      <c r="O122" s="30">
        <f>J113+J114+J116+J118+J119+J120+SUM(J117:J117)</f>
        <v>2152.7400000000002</v>
      </c>
      <c r="P122" s="30">
        <f>L113+L114+L116+L118+L119+L120+SUM(L117:L117)</f>
        <v>11648.279999999999</v>
      </c>
      <c r="X122">
        <f>IF(Source!BI34&lt;=1,J113+J114+J116+J118+J119+J120-0, 0)</f>
        <v>700.29000000000008</v>
      </c>
      <c r="Y122">
        <f>IF(Source!BI34=2,J113+J114+J116+J118+J119+J120-0, 0)</f>
        <v>0</v>
      </c>
      <c r="Z122">
        <f>IF(Source!BI34=3,J113+J114+J116+J118+J119+J120-0, 0)</f>
        <v>0</v>
      </c>
      <c r="AA122">
        <f>IF(Source!BI34=4,J113+J114+J116+J118+J119+J120,0)</f>
        <v>0</v>
      </c>
    </row>
    <row r="123" spans="1:27" ht="69" x14ac:dyDescent="0.3">
      <c r="A123" s="22">
        <v>13</v>
      </c>
      <c r="B123" s="22" t="str">
        <f>Source!E36</f>
        <v>9</v>
      </c>
      <c r="C123" s="23" t="str">
        <f>Source!F36</f>
        <v>3.47-26-4</v>
      </c>
      <c r="D123" s="23" t="s">
        <v>99</v>
      </c>
      <c r="E123" s="24" t="str">
        <f>Source!H36</f>
        <v>100 м2</v>
      </c>
      <c r="F123" s="10">
        <f>Source!I36</f>
        <v>0.65</v>
      </c>
      <c r="G123" s="26"/>
      <c r="H123" s="25"/>
      <c r="I123" s="10"/>
      <c r="J123" s="27"/>
      <c r="K123" s="10"/>
      <c r="L123" s="27"/>
      <c r="Q123">
        <f>ROUND((Source!DN36/100)*ROUND((ROUND((Source!AF36*Source!AV36*Source!I36),2)),2), 2)</f>
        <v>485.57</v>
      </c>
      <c r="R123">
        <f>Source!X36</f>
        <v>6871.69</v>
      </c>
      <c r="S123">
        <f>ROUND((Source!DO36/100)*ROUND((ROUND((Source!AF36*Source!AV36*Source!I36),2)),2), 2)</f>
        <v>261.45999999999998</v>
      </c>
      <c r="T123">
        <f>Source!Y36</f>
        <v>3130.44</v>
      </c>
      <c r="U123">
        <f>ROUND((175/100)*ROUND((ROUND((Source!AE36*Source!AV36*Source!I36),2)),2), 2)</f>
        <v>0</v>
      </c>
      <c r="V123">
        <f>ROUND((157/100)*ROUND(ROUND((ROUND((Source!AE36*Source!AV36*Source!I36),2)*Source!BS36),2), 2), 2)</f>
        <v>0</v>
      </c>
    </row>
    <row r="124" spans="1:27" x14ac:dyDescent="0.25">
      <c r="D124" s="28" t="str">
        <f>"Объем: "&amp;Source!I36&amp;"=(65*"&amp;"1)/"&amp;"100"</f>
        <v>Объем: 0,65=(65*1)/100</v>
      </c>
    </row>
    <row r="125" spans="1:27" ht="14.4" x14ac:dyDescent="0.3">
      <c r="A125" s="22"/>
      <c r="B125" s="22"/>
      <c r="C125" s="23"/>
      <c r="D125" s="23" t="s">
        <v>300</v>
      </c>
      <c r="E125" s="24"/>
      <c r="F125" s="10"/>
      <c r="G125" s="26">
        <f>Source!AO36</f>
        <v>416.4</v>
      </c>
      <c r="H125" s="25" t="str">
        <f>Source!DG36</f>
        <v>)*1,15</v>
      </c>
      <c r="I125" s="10">
        <f>Source!AV36</f>
        <v>1</v>
      </c>
      <c r="J125" s="27">
        <f>ROUND((ROUND((Source!AF36*Source!AV36*Source!I36),2)),2)</f>
        <v>311.26</v>
      </c>
      <c r="K125" s="10">
        <f>IF(Source!BA36&lt;&gt; 0, Source!BA36, 1)</f>
        <v>24.53</v>
      </c>
      <c r="L125" s="27">
        <f>Source!S36</f>
        <v>7635.21</v>
      </c>
      <c r="W125">
        <f>J125</f>
        <v>311.26</v>
      </c>
    </row>
    <row r="126" spans="1:27" ht="14.4" x14ac:dyDescent="0.3">
      <c r="A126" s="22">
        <v>14</v>
      </c>
      <c r="B126" s="22" t="str">
        <f>Source!E37</f>
        <v>9,1</v>
      </c>
      <c r="C126" s="23" t="str">
        <f>Source!F37</f>
        <v>1.4-6-1</v>
      </c>
      <c r="D126" s="23" t="s">
        <v>105</v>
      </c>
      <c r="E126" s="24" t="str">
        <f>Source!H37</f>
        <v>м3</v>
      </c>
      <c r="F126" s="10">
        <f>Source!I37</f>
        <v>9.75</v>
      </c>
      <c r="G126" s="26">
        <f>Source!AK37</f>
        <v>146.84</v>
      </c>
      <c r="H126" s="32" t="s">
        <v>3</v>
      </c>
      <c r="I126" s="10">
        <f>Source!AW37</f>
        <v>1</v>
      </c>
      <c r="J126" s="27">
        <f>ROUND((ROUND((Source!AC37*Source!AW37*Source!I37),2)),2)+(ROUND((ROUND(((Source!ET37)*Source!AV37*Source!I37),2)),2)+ROUND((ROUND(((Source!AE37-(Source!EU37))*Source!AV37*Source!I37),2)),2))+ROUND((ROUND((Source!AF37*Source!AV37*Source!I37),2)),2)</f>
        <v>1431.69</v>
      </c>
      <c r="K126" s="10">
        <f>IF(Source!BC37&lt;&gt; 0, Source!BC37, 1)</f>
        <v>4.47</v>
      </c>
      <c r="L126" s="27">
        <f>Source!O37</f>
        <v>6399.65</v>
      </c>
      <c r="Q126">
        <f>ROUND((Source!DN37/100)*ROUND((ROUND((Source!AF37*Source!AV37*Source!I37),2)),2), 2)</f>
        <v>0</v>
      </c>
      <c r="R126">
        <f>Source!X37</f>
        <v>0</v>
      </c>
      <c r="S126">
        <f>ROUND((Source!DO37/100)*ROUND((ROUND((Source!AF37*Source!AV37*Source!I37),2)),2), 2)</f>
        <v>0</v>
      </c>
      <c r="T126">
        <f>Source!Y37</f>
        <v>0</v>
      </c>
      <c r="U126">
        <f>ROUND((175/100)*ROUND((ROUND((Source!AE37*Source!AV37*Source!I37),2)),2), 2)</f>
        <v>0</v>
      </c>
      <c r="V126">
        <f>ROUND((157/100)*ROUND(ROUND((ROUND((Source!AE37*Source!AV37*Source!I37),2)*Source!BS37),2), 2), 2)</f>
        <v>0</v>
      </c>
      <c r="X126">
        <f>IF(Source!BI37&lt;=1,J126, 0)</f>
        <v>1431.69</v>
      </c>
      <c r="Y126">
        <f>IF(Source!BI37=2,J126, 0)</f>
        <v>0</v>
      </c>
      <c r="Z126">
        <f>IF(Source!BI37=3,J126, 0)</f>
        <v>0</v>
      </c>
      <c r="AA126">
        <f>IF(Source!BI37=4,J126, 0)</f>
        <v>0</v>
      </c>
    </row>
    <row r="127" spans="1:27" ht="14.4" x14ac:dyDescent="0.3">
      <c r="A127" s="22"/>
      <c r="B127" s="22"/>
      <c r="C127" s="23"/>
      <c r="D127" s="23" t="s">
        <v>303</v>
      </c>
      <c r="E127" s="24" t="s">
        <v>304</v>
      </c>
      <c r="F127" s="10">
        <f>Source!DN36</f>
        <v>156</v>
      </c>
      <c r="G127" s="26"/>
      <c r="H127" s="25"/>
      <c r="I127" s="10"/>
      <c r="J127" s="27">
        <f>SUM(Q123:Q126)</f>
        <v>485.57</v>
      </c>
      <c r="K127" s="10">
        <f>Source!BZ36</f>
        <v>90</v>
      </c>
      <c r="L127" s="27">
        <f>SUM(R123:R126)</f>
        <v>6871.69</v>
      </c>
    </row>
    <row r="128" spans="1:27" ht="14.4" x14ac:dyDescent="0.3">
      <c r="A128" s="22"/>
      <c r="B128" s="22"/>
      <c r="C128" s="23"/>
      <c r="D128" s="23" t="s">
        <v>305</v>
      </c>
      <c r="E128" s="24" t="s">
        <v>304</v>
      </c>
      <c r="F128" s="10">
        <f>Source!DO36</f>
        <v>84</v>
      </c>
      <c r="G128" s="26"/>
      <c r="H128" s="25"/>
      <c r="I128" s="10"/>
      <c r="J128" s="27">
        <f>SUM(S123:S127)</f>
        <v>261.45999999999998</v>
      </c>
      <c r="K128" s="10">
        <f>Source!CA36</f>
        <v>41</v>
      </c>
      <c r="L128" s="27">
        <f>SUM(T123:T127)</f>
        <v>3130.44</v>
      </c>
    </row>
    <row r="129" spans="1:38" ht="14.4" x14ac:dyDescent="0.3">
      <c r="A129" s="22"/>
      <c r="B129" s="22"/>
      <c r="C129" s="23"/>
      <c r="D129" s="23" t="s">
        <v>307</v>
      </c>
      <c r="E129" s="24" t="s">
        <v>308</v>
      </c>
      <c r="F129" s="10">
        <f>Source!AQ36</f>
        <v>40</v>
      </c>
      <c r="G129" s="26"/>
      <c r="H129" s="25" t="str">
        <f>Source!DI36</f>
        <v>)*1,15</v>
      </c>
      <c r="I129" s="10">
        <f>Source!AV36</f>
        <v>1</v>
      </c>
      <c r="J129" s="27">
        <f>Source!U36</f>
        <v>29.900000000000002</v>
      </c>
      <c r="K129" s="10"/>
      <c r="L129" s="27"/>
    </row>
    <row r="130" spans="1:38" ht="13.8" x14ac:dyDescent="0.25">
      <c r="A130" s="31"/>
      <c r="B130" s="31"/>
      <c r="C130" s="31"/>
      <c r="D130" s="31"/>
      <c r="E130" s="31"/>
      <c r="F130" s="31"/>
      <c r="G130" s="31"/>
      <c r="H130" s="31"/>
      <c r="I130" s="61">
        <f>J125+J127+J128+SUM(J126:J126)</f>
        <v>2489.98</v>
      </c>
      <c r="J130" s="61"/>
      <c r="K130" s="61">
        <f>L125+L127+L128+SUM(L126:L126)</f>
        <v>24036.989999999998</v>
      </c>
      <c r="L130" s="61"/>
      <c r="O130" s="30">
        <f>J125+J127+J128+SUM(J126:J126)</f>
        <v>2489.98</v>
      </c>
      <c r="P130" s="30">
        <f>L125+L127+L128+SUM(L126:L126)</f>
        <v>24036.989999999998</v>
      </c>
      <c r="X130">
        <f>IF(Source!BI36&lt;=1,J125+J127+J128-0, 0)</f>
        <v>1058.29</v>
      </c>
      <c r="Y130">
        <f>IF(Source!BI36=2,J125+J127+J128-0, 0)</f>
        <v>0</v>
      </c>
      <c r="Z130">
        <f>IF(Source!BI36=3,J125+J127+J128-0, 0)</f>
        <v>0</v>
      </c>
      <c r="AA130">
        <f>IF(Source!BI36=4,J125+J127+J128,0)</f>
        <v>0</v>
      </c>
    </row>
    <row r="131" spans="1:38" ht="41.4" x14ac:dyDescent="0.3">
      <c r="A131" s="22">
        <v>15</v>
      </c>
      <c r="B131" s="22" t="str">
        <f>Source!E38</f>
        <v>10</v>
      </c>
      <c r="C131" s="23" t="str">
        <f>Source!F38</f>
        <v>3.47-26-6</v>
      </c>
      <c r="D131" s="23" t="s">
        <v>109</v>
      </c>
      <c r="E131" s="24" t="str">
        <f>Source!H38</f>
        <v>100 м2</v>
      </c>
      <c r="F131" s="10">
        <f>Source!I38</f>
        <v>0.65</v>
      </c>
      <c r="G131" s="26"/>
      <c r="H131" s="25"/>
      <c r="I131" s="10"/>
      <c r="J131" s="27"/>
      <c r="K131" s="10"/>
      <c r="L131" s="27"/>
      <c r="Q131">
        <f>ROUND((Source!DN38/100)*ROUND((ROUND((Source!AF38*Source!AV38*Source!I38),2)),2), 2)</f>
        <v>68.45</v>
      </c>
      <c r="R131">
        <f>Source!X38</f>
        <v>968.74</v>
      </c>
      <c r="S131">
        <f>ROUND((Source!DO38/100)*ROUND((ROUND((Source!AF38*Source!AV38*Source!I38),2)),2), 2)</f>
        <v>36.86</v>
      </c>
      <c r="T131">
        <f>Source!Y38</f>
        <v>441.32</v>
      </c>
      <c r="U131">
        <f>ROUND((175/100)*ROUND((ROUND((Source!AE38*Source!AV38*Source!I38),2)),2), 2)</f>
        <v>0</v>
      </c>
      <c r="V131">
        <f>ROUND((157/100)*ROUND(ROUND((ROUND((Source!AE38*Source!AV38*Source!I38),2)*Source!BS38),2), 2), 2)</f>
        <v>0</v>
      </c>
    </row>
    <row r="132" spans="1:38" ht="14.4" x14ac:dyDescent="0.3">
      <c r="A132" s="22"/>
      <c r="B132" s="22"/>
      <c r="C132" s="23"/>
      <c r="D132" s="23" t="s">
        <v>300</v>
      </c>
      <c r="E132" s="24"/>
      <c r="F132" s="10"/>
      <c r="G132" s="26">
        <f>Source!AO38</f>
        <v>58.7</v>
      </c>
      <c r="H132" s="25" t="str">
        <f>Source!DG38</f>
        <v>)*1,15</v>
      </c>
      <c r="I132" s="10">
        <f>Source!AV38</f>
        <v>1</v>
      </c>
      <c r="J132" s="27">
        <f>ROUND((ROUND((Source!AF38*Source!AV38*Source!I38),2)),2)</f>
        <v>43.88</v>
      </c>
      <c r="K132" s="10">
        <f>IF(Source!BA38&lt;&gt; 0, Source!BA38, 1)</f>
        <v>24.53</v>
      </c>
      <c r="L132" s="27">
        <f>Source!S38</f>
        <v>1076.3800000000001</v>
      </c>
      <c r="W132">
        <f>J132</f>
        <v>43.88</v>
      </c>
    </row>
    <row r="133" spans="1:38" ht="14.4" x14ac:dyDescent="0.3">
      <c r="A133" s="22"/>
      <c r="B133" s="22"/>
      <c r="C133" s="23"/>
      <c r="D133" s="23" t="s">
        <v>309</v>
      </c>
      <c r="E133" s="24"/>
      <c r="F133" s="10"/>
      <c r="G133" s="26">
        <f>Source!AL38</f>
        <v>70.7</v>
      </c>
      <c r="H133" s="25" t="str">
        <f>Source!DD38</f>
        <v/>
      </c>
      <c r="I133" s="10">
        <f>Source!AW38</f>
        <v>1</v>
      </c>
      <c r="J133" s="27">
        <f>ROUND((ROUND((Source!AC38*Source!AW38*Source!I38),2)),2)</f>
        <v>45.96</v>
      </c>
      <c r="K133" s="10">
        <f>IF(Source!BC38&lt;&gt; 0, Source!BC38, 1)</f>
        <v>4.99</v>
      </c>
      <c r="L133" s="27">
        <f>Source!P38</f>
        <v>229.34</v>
      </c>
    </row>
    <row r="134" spans="1:38" ht="27.6" x14ac:dyDescent="0.3">
      <c r="A134" s="22">
        <v>16</v>
      </c>
      <c r="B134" s="22" t="str">
        <f>Source!E39</f>
        <v>10,1</v>
      </c>
      <c r="C134" s="23" t="str">
        <f>Source!F39</f>
        <v>1.4-4-19</v>
      </c>
      <c r="D134" s="23" t="s">
        <v>113</v>
      </c>
      <c r="E134" s="24" t="str">
        <f>Source!H39</f>
        <v>кг</v>
      </c>
      <c r="F134" s="10">
        <f>Source!I39</f>
        <v>2.6</v>
      </c>
      <c r="G134" s="26">
        <f>Source!AK39</f>
        <v>17.72</v>
      </c>
      <c r="H134" s="32" t="s">
        <v>3</v>
      </c>
      <c r="I134" s="10">
        <f>Source!AW39</f>
        <v>1</v>
      </c>
      <c r="J134" s="27">
        <f>ROUND((ROUND((Source!AC39*Source!AW39*Source!I39),2)),2)+(ROUND((ROUND(((Source!ET39)*Source!AV39*Source!I39),2)),2)+ROUND((ROUND(((Source!AE39-(Source!EU39))*Source!AV39*Source!I39),2)),2))+ROUND((ROUND((Source!AF39*Source!AV39*Source!I39),2)),2)</f>
        <v>46.07</v>
      </c>
      <c r="K134" s="10">
        <f>IF(Source!BC39&lt;&gt; 0, Source!BC39, 1)</f>
        <v>4.8</v>
      </c>
      <c r="L134" s="27">
        <f>Source!O39</f>
        <v>221.14</v>
      </c>
      <c r="Q134">
        <f>ROUND((Source!DN39/100)*ROUND((ROUND((Source!AF39*Source!AV39*Source!I39),2)),2), 2)</f>
        <v>0</v>
      </c>
      <c r="R134">
        <f>Source!X39</f>
        <v>0</v>
      </c>
      <c r="S134">
        <f>ROUND((Source!DO39/100)*ROUND((ROUND((Source!AF39*Source!AV39*Source!I39),2)),2), 2)</f>
        <v>0</v>
      </c>
      <c r="T134">
        <f>Source!Y39</f>
        <v>0</v>
      </c>
      <c r="U134">
        <f>ROUND((175/100)*ROUND((ROUND((Source!AE39*Source!AV39*Source!I39),2)),2), 2)</f>
        <v>0</v>
      </c>
      <c r="V134">
        <f>ROUND((157/100)*ROUND(ROUND((ROUND((Source!AE39*Source!AV39*Source!I39),2)*Source!BS39),2), 2), 2)</f>
        <v>0</v>
      </c>
      <c r="X134">
        <f>IF(Source!BI39&lt;=1,J134, 0)</f>
        <v>46.07</v>
      </c>
      <c r="Y134">
        <f>IF(Source!BI39=2,J134, 0)</f>
        <v>0</v>
      </c>
      <c r="Z134">
        <f>IF(Source!BI39=3,J134, 0)</f>
        <v>0</v>
      </c>
      <c r="AA134">
        <f>IF(Source!BI39=4,J134, 0)</f>
        <v>0</v>
      </c>
    </row>
    <row r="135" spans="1:38" ht="14.4" x14ac:dyDescent="0.3">
      <c r="A135" s="22"/>
      <c r="B135" s="22"/>
      <c r="C135" s="23"/>
      <c r="D135" s="23" t="s">
        <v>303</v>
      </c>
      <c r="E135" s="24" t="s">
        <v>304</v>
      </c>
      <c r="F135" s="10">
        <f>Source!DN38</f>
        <v>156</v>
      </c>
      <c r="G135" s="26"/>
      <c r="H135" s="25"/>
      <c r="I135" s="10"/>
      <c r="J135" s="27">
        <f>SUM(Q131:Q134)</f>
        <v>68.45</v>
      </c>
      <c r="K135" s="10">
        <f>Source!BZ38</f>
        <v>90</v>
      </c>
      <c r="L135" s="27">
        <f>SUM(R131:R134)</f>
        <v>968.74</v>
      </c>
    </row>
    <row r="136" spans="1:38" ht="14.4" x14ac:dyDescent="0.3">
      <c r="A136" s="22"/>
      <c r="B136" s="22"/>
      <c r="C136" s="23"/>
      <c r="D136" s="23" t="s">
        <v>305</v>
      </c>
      <c r="E136" s="24" t="s">
        <v>304</v>
      </c>
      <c r="F136" s="10">
        <f>Source!DO38</f>
        <v>84</v>
      </c>
      <c r="G136" s="26"/>
      <c r="H136" s="25"/>
      <c r="I136" s="10"/>
      <c r="J136" s="27">
        <f>SUM(S131:S135)</f>
        <v>36.86</v>
      </c>
      <c r="K136" s="10">
        <f>Source!CA38</f>
        <v>41</v>
      </c>
      <c r="L136" s="27">
        <f>SUM(T131:T135)</f>
        <v>441.32</v>
      </c>
    </row>
    <row r="137" spans="1:38" ht="14.4" x14ac:dyDescent="0.3">
      <c r="A137" s="22"/>
      <c r="B137" s="22"/>
      <c r="C137" s="23"/>
      <c r="D137" s="23" t="s">
        <v>307</v>
      </c>
      <c r="E137" s="24" t="s">
        <v>308</v>
      </c>
      <c r="F137" s="10">
        <f>Source!AQ38</f>
        <v>5.25</v>
      </c>
      <c r="G137" s="26"/>
      <c r="H137" s="25" t="str">
        <f>Source!DI38</f>
        <v>)*1,15</v>
      </c>
      <c r="I137" s="10">
        <f>Source!AV38</f>
        <v>1</v>
      </c>
      <c r="J137" s="27">
        <f>Source!U38</f>
        <v>3.9243749999999999</v>
      </c>
      <c r="K137" s="10"/>
      <c r="L137" s="27"/>
    </row>
    <row r="138" spans="1:38" ht="13.8" x14ac:dyDescent="0.25">
      <c r="A138" s="31"/>
      <c r="B138" s="31"/>
      <c r="C138" s="31"/>
      <c r="D138" s="31"/>
      <c r="E138" s="31"/>
      <c r="F138" s="31"/>
      <c r="G138" s="31"/>
      <c r="H138" s="31"/>
      <c r="I138" s="61">
        <f>J132+J133+J135+J136+SUM(J134:J134)</f>
        <v>241.22000000000003</v>
      </c>
      <c r="J138" s="61"/>
      <c r="K138" s="61">
        <f>L132+L133+L135+L136+SUM(L134:L134)</f>
        <v>2936.92</v>
      </c>
      <c r="L138" s="61"/>
      <c r="O138" s="30">
        <f>J132+J133+J135+J136+SUM(J134:J134)</f>
        <v>241.22000000000003</v>
      </c>
      <c r="P138" s="30">
        <f>L132+L133+L135+L136+SUM(L134:L134)</f>
        <v>2936.92</v>
      </c>
      <c r="X138">
        <f>IF(Source!BI38&lt;=1,J132+J133+J135+J136-0, 0)</f>
        <v>195.15000000000003</v>
      </c>
      <c r="Y138">
        <f>IF(Source!BI38=2,J132+J133+J135+J136-0, 0)</f>
        <v>0</v>
      </c>
      <c r="Z138">
        <f>IF(Source!BI38=3,J132+J133+J135+J136-0, 0)</f>
        <v>0</v>
      </c>
      <c r="AA138">
        <f>IF(Source!BI38=4,J132+J133+J135+J136,0)</f>
        <v>0</v>
      </c>
    </row>
    <row r="140" spans="1:38" ht="13.8" x14ac:dyDescent="0.25">
      <c r="A140" s="68" t="str">
        <f>CONCATENATE("Итого по локальной смете: ",IF(Source!G41&lt;&gt;"Новая локальная смета", Source!G41, ""))</f>
        <v>Итого по локальной смете: Благоустройство.</v>
      </c>
      <c r="B140" s="68"/>
      <c r="C140" s="68"/>
      <c r="D140" s="68"/>
      <c r="E140" s="68"/>
      <c r="F140" s="68"/>
      <c r="G140" s="68"/>
      <c r="H140" s="68"/>
      <c r="I140" s="66">
        <f>SUM(O39:O139)</f>
        <v>8408.51</v>
      </c>
      <c r="J140" s="67"/>
      <c r="K140" s="66">
        <f>SUM(P39:P139)</f>
        <v>104205.90000000001</v>
      </c>
      <c r="L140" s="67"/>
    </row>
    <row r="141" spans="1:38" hidden="1" x14ac:dyDescent="0.25">
      <c r="A141" t="s">
        <v>310</v>
      </c>
      <c r="J141">
        <f>SUM(AC39:AC140)</f>
        <v>0</v>
      </c>
      <c r="K141">
        <f>SUM(AD39:AD140)</f>
        <v>0</v>
      </c>
    </row>
    <row r="142" spans="1:38" hidden="1" x14ac:dyDescent="0.25">
      <c r="A142" t="s">
        <v>311</v>
      </c>
      <c r="J142">
        <f>SUM(AE39:AE141)</f>
        <v>0</v>
      </c>
      <c r="K142">
        <f>SUM(AF39:AF141)</f>
        <v>0</v>
      </c>
    </row>
    <row r="144" spans="1:38" ht="13.8" x14ac:dyDescent="0.25">
      <c r="A144" s="68" t="str">
        <f>CONCATENATE("Итого по смете: ",IF(Source!G70&lt;&gt;"Новый объект", Source!G70, ""))</f>
        <v>Итого по смете: КЛ-0,4 от ул.Центральная, д.6 до ул.Центральная, д.8.  Благоустройство.</v>
      </c>
      <c r="B144" s="68"/>
      <c r="C144" s="68"/>
      <c r="D144" s="68"/>
      <c r="E144" s="68"/>
      <c r="F144" s="68"/>
      <c r="G144" s="68"/>
      <c r="H144" s="68"/>
      <c r="I144" s="66">
        <f>SUM(O1:O143)</f>
        <v>8408.51</v>
      </c>
      <c r="J144" s="67"/>
      <c r="K144" s="66">
        <f>SUM(P1:P143)</f>
        <v>104205.90000000001</v>
      </c>
      <c r="L144" s="67"/>
      <c r="AL144" s="34" t="str">
        <f>CONCATENATE("Итого по смете: ",IF(Source!G70&lt;&gt;"Новый объект", Source!G70, ""))</f>
        <v>Итого по смете: КЛ-0,4 от ул.Центральная, д.6 до ул.Центральная, д.8.  Благоустройство.</v>
      </c>
    </row>
    <row r="145" spans="1:12" hidden="1" x14ac:dyDescent="0.25">
      <c r="A145" t="s">
        <v>310</v>
      </c>
      <c r="J145">
        <f>SUM(AC1:AC144)</f>
        <v>0</v>
      </c>
      <c r="K145">
        <f>SUM(AD1:AD144)</f>
        <v>0</v>
      </c>
    </row>
    <row r="146" spans="1:12" hidden="1" x14ac:dyDescent="0.25">
      <c r="A146" t="s">
        <v>311</v>
      </c>
      <c r="J146">
        <f>SUM(AE1:AE145)</f>
        <v>0</v>
      </c>
      <c r="K146">
        <f>SUM(AF1:AF145)</f>
        <v>0</v>
      </c>
    </row>
    <row r="147" spans="1:12" ht="13.8" x14ac:dyDescent="0.25">
      <c r="D147" s="60" t="str">
        <f>Source!H98</f>
        <v>Итого</v>
      </c>
      <c r="E147" s="60"/>
      <c r="F147" s="60"/>
      <c r="G147" s="60"/>
      <c r="H147" s="60"/>
      <c r="I147" s="60"/>
      <c r="J147" s="60"/>
      <c r="K147" s="69">
        <f>IF(Source!F98=0, "", Source!F98)</f>
        <v>104205.9</v>
      </c>
      <c r="L147" s="69"/>
    </row>
    <row r="148" spans="1:12" ht="13.8" x14ac:dyDescent="0.25">
      <c r="D148" s="60" t="str">
        <f>Source!H99</f>
        <v>НДС 20%</v>
      </c>
      <c r="E148" s="60"/>
      <c r="F148" s="60"/>
      <c r="G148" s="60"/>
      <c r="H148" s="60"/>
      <c r="I148" s="60"/>
      <c r="J148" s="60"/>
      <c r="K148" s="69">
        <f>IF(Source!F99=0, "", Source!F99)</f>
        <v>20841.18</v>
      </c>
      <c r="L148" s="69"/>
    </row>
    <row r="149" spans="1:12" ht="13.8" x14ac:dyDescent="0.25">
      <c r="D149" s="60" t="str">
        <f>Source!H100</f>
        <v>Итого с НДС</v>
      </c>
      <c r="E149" s="60"/>
      <c r="F149" s="60"/>
      <c r="G149" s="60"/>
      <c r="H149" s="60"/>
      <c r="I149" s="60"/>
      <c r="J149" s="60"/>
      <c r="K149" s="69">
        <f>IF(Source!F100=0, "", Source!F100)</f>
        <v>125047.08</v>
      </c>
      <c r="L149" s="69"/>
    </row>
    <row r="152" spans="1:12" ht="13.8" x14ac:dyDescent="0.25">
      <c r="A152" s="11"/>
      <c r="B152" s="70" t="s">
        <v>348</v>
      </c>
      <c r="C152" s="70"/>
      <c r="D152" s="35" t="str">
        <f>IF(Source!AM12&lt;&gt;"", Source!AM12," ")</f>
        <v xml:space="preserve"> </v>
      </c>
      <c r="E152" s="35"/>
      <c r="F152" s="35"/>
      <c r="G152" s="35"/>
      <c r="H152" s="35"/>
      <c r="I152" s="11" t="str">
        <f>IF(Source!AL12&lt;&gt;"", Source!AL12," ")</f>
        <v xml:space="preserve"> </v>
      </c>
      <c r="J152" s="11"/>
      <c r="K152" s="11"/>
    </row>
    <row r="153" spans="1:12" ht="13.8" x14ac:dyDescent="0.25">
      <c r="A153" s="11"/>
      <c r="B153" s="11"/>
      <c r="C153" s="11"/>
      <c r="D153" s="71" t="s">
        <v>314</v>
      </c>
      <c r="E153" s="71"/>
      <c r="F153" s="71"/>
      <c r="G153" s="71"/>
      <c r="H153" s="71"/>
      <c r="I153" s="11"/>
      <c r="J153" s="11"/>
      <c r="K153" s="11"/>
    </row>
    <row r="154" spans="1:12" ht="13.8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2" ht="13.8" x14ac:dyDescent="0.25">
      <c r="A155" s="11"/>
      <c r="B155" s="70" t="s">
        <v>349</v>
      </c>
      <c r="C155" s="70"/>
      <c r="D155" s="35" t="str">
        <f>IF(Source!AI12&lt;&gt;"", Source!AI12," ")</f>
        <v>Директор</v>
      </c>
      <c r="E155" s="35"/>
      <c r="F155" s="35"/>
      <c r="G155" s="35"/>
      <c r="H155" s="35"/>
      <c r="I155" s="11" t="str">
        <f>IF(Source!AH12&lt;&gt;"", Source!AH12," ")</f>
        <v>А.П. Воробьева</v>
      </c>
      <c r="J155" s="11"/>
      <c r="K155" s="11"/>
    </row>
    <row r="156" spans="1:12" ht="13.8" x14ac:dyDescent="0.25">
      <c r="A156" s="11"/>
      <c r="B156" s="11"/>
      <c r="C156" s="11"/>
      <c r="D156" s="71" t="s">
        <v>314</v>
      </c>
      <c r="E156" s="71"/>
      <c r="F156" s="71"/>
      <c r="G156" s="71"/>
      <c r="H156" s="71"/>
      <c r="I156" s="11"/>
      <c r="J156" s="11"/>
      <c r="K156" s="11"/>
    </row>
  </sheetData>
  <mergeCells count="82">
    <mergeCell ref="D156:H156"/>
    <mergeCell ref="D147:J147"/>
    <mergeCell ref="D149:J149"/>
    <mergeCell ref="K149:L149"/>
    <mergeCell ref="B152:C152"/>
    <mergeCell ref="D153:H153"/>
    <mergeCell ref="B155:C155"/>
    <mergeCell ref="K144:L144"/>
    <mergeCell ref="I144:J144"/>
    <mergeCell ref="A144:H144"/>
    <mergeCell ref="K147:L147"/>
    <mergeCell ref="D148:J148"/>
    <mergeCell ref="K148:L148"/>
    <mergeCell ref="K138:L138"/>
    <mergeCell ref="I138:J138"/>
    <mergeCell ref="K140:L140"/>
    <mergeCell ref="I140:J140"/>
    <mergeCell ref="A140:H140"/>
    <mergeCell ref="K110:L110"/>
    <mergeCell ref="I110:J110"/>
    <mergeCell ref="K122:L122"/>
    <mergeCell ref="I122:J122"/>
    <mergeCell ref="K130:L130"/>
    <mergeCell ref="I130:J130"/>
    <mergeCell ref="K82:L82"/>
    <mergeCell ref="I82:J82"/>
    <mergeCell ref="K92:L92"/>
    <mergeCell ref="I92:J92"/>
    <mergeCell ref="K103:L103"/>
    <mergeCell ref="I103:J103"/>
    <mergeCell ref="B34:B37"/>
    <mergeCell ref="K60:L60"/>
    <mergeCell ref="I60:J60"/>
    <mergeCell ref="K72:L72"/>
    <mergeCell ref="I72:J72"/>
    <mergeCell ref="K48:L48"/>
    <mergeCell ref="I48:J48"/>
    <mergeCell ref="H31:I31"/>
    <mergeCell ref="A32:L32"/>
    <mergeCell ref="A33:B33"/>
    <mergeCell ref="C33:C37"/>
    <mergeCell ref="D33:D37"/>
    <mergeCell ref="E33:E37"/>
    <mergeCell ref="F33:F37"/>
    <mergeCell ref="G33:G37"/>
    <mergeCell ref="H33:H37"/>
    <mergeCell ref="I33:I37"/>
    <mergeCell ref="J33:J37"/>
    <mergeCell ref="K33:K37"/>
    <mergeCell ref="L33:L37"/>
    <mergeCell ref="A34:A37"/>
    <mergeCell ref="A29:L29"/>
    <mergeCell ref="C18:H18"/>
    <mergeCell ref="G19:I19"/>
    <mergeCell ref="J19:L19"/>
    <mergeCell ref="G20:H20"/>
    <mergeCell ref="J20:L20"/>
    <mergeCell ref="J21:L21"/>
    <mergeCell ref="J22:L22"/>
    <mergeCell ref="G24:G25"/>
    <mergeCell ref="H24:H25"/>
    <mergeCell ref="I24:J24"/>
    <mergeCell ref="A28:L28"/>
    <mergeCell ref="C14:H14"/>
    <mergeCell ref="J14:L15"/>
    <mergeCell ref="C15:H15"/>
    <mergeCell ref="C16:H16"/>
    <mergeCell ref="J16:L17"/>
    <mergeCell ref="C17:H17"/>
    <mergeCell ref="C9:H9"/>
    <mergeCell ref="C10:H10"/>
    <mergeCell ref="J10:L11"/>
    <mergeCell ref="C11:H11"/>
    <mergeCell ref="C12:H12"/>
    <mergeCell ref="J12:L13"/>
    <mergeCell ref="C13:H13"/>
    <mergeCell ref="J8:L9"/>
    <mergeCell ref="I2:L2"/>
    <mergeCell ref="I3:L3"/>
    <mergeCell ref="I4:L4"/>
    <mergeCell ref="J6:L6"/>
    <mergeCell ref="J7:L7"/>
  </mergeCells>
  <pageMargins left="0.4" right="0.2" top="0.2" bottom="0.4" header="0.2" footer="0.2"/>
  <pageSetup paperSize="9" scale="62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3.2" x14ac:dyDescent="0.25"/>
  <cols>
    <col min="1" max="1" width="5.6640625" customWidth="1"/>
    <col min="2" max="2" width="22.6640625" customWidth="1"/>
    <col min="10" max="11" width="11.109375" customWidth="1"/>
  </cols>
  <sheetData>
    <row r="1" spans="1:12" ht="13.8" x14ac:dyDescent="0.25">
      <c r="A1" s="92" t="str">
        <f>Source!B1</f>
        <v>Smeta.RU  (495) 974-1589</v>
      </c>
      <c r="B1" s="92"/>
      <c r="C1" s="92"/>
      <c r="D1" s="92"/>
      <c r="E1" s="11"/>
      <c r="F1" s="11"/>
      <c r="G1" s="11"/>
      <c r="H1" s="93" t="s">
        <v>350</v>
      </c>
      <c r="I1" s="93"/>
      <c r="J1" s="93"/>
      <c r="K1" s="93"/>
      <c r="L1" s="93"/>
    </row>
    <row r="2" spans="1:12" ht="13.8" x14ac:dyDescent="0.25">
      <c r="A2" s="11"/>
      <c r="B2" s="11"/>
      <c r="C2" s="11"/>
      <c r="D2" s="11"/>
      <c r="E2" s="11"/>
      <c r="F2" s="11"/>
      <c r="G2" s="11"/>
      <c r="H2" s="93" t="s">
        <v>317</v>
      </c>
      <c r="I2" s="93"/>
      <c r="J2" s="93"/>
      <c r="K2" s="93"/>
      <c r="L2" s="93"/>
    </row>
    <row r="3" spans="1:12" ht="13.8" x14ac:dyDescent="0.25">
      <c r="A3" s="11"/>
      <c r="B3" s="11"/>
      <c r="C3" s="11"/>
      <c r="D3" s="11"/>
      <c r="E3" s="11"/>
      <c r="F3" s="11"/>
      <c r="G3" s="11"/>
      <c r="H3" s="93" t="s">
        <v>318</v>
      </c>
      <c r="I3" s="93"/>
      <c r="J3" s="93"/>
      <c r="K3" s="93"/>
      <c r="L3" s="93"/>
    </row>
    <row r="4" spans="1:12" ht="13.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90" t="s">
        <v>351</v>
      </c>
      <c r="L4" s="91"/>
    </row>
    <row r="5" spans="1:12" ht="13.8" x14ac:dyDescent="0.25">
      <c r="A5" s="11"/>
      <c r="B5" s="11"/>
      <c r="C5" s="11"/>
      <c r="D5" s="11"/>
      <c r="E5" s="11"/>
      <c r="F5" s="11"/>
      <c r="G5" s="11"/>
      <c r="H5" s="11"/>
      <c r="I5" s="76" t="s">
        <v>320</v>
      </c>
      <c r="J5" s="76"/>
      <c r="K5" s="90">
        <v>322001</v>
      </c>
      <c r="L5" s="91"/>
    </row>
    <row r="6" spans="1:12" ht="13.8" x14ac:dyDescent="0.25">
      <c r="A6" s="76" t="s">
        <v>352</v>
      </c>
      <c r="B6" s="76"/>
      <c r="C6" s="94"/>
      <c r="D6" s="94"/>
      <c r="E6" s="94"/>
      <c r="F6" s="94"/>
      <c r="G6" s="94"/>
      <c r="H6" s="94"/>
      <c r="I6" s="94"/>
      <c r="J6" s="10" t="s">
        <v>323</v>
      </c>
      <c r="K6" s="90"/>
      <c r="L6" s="91"/>
    </row>
    <row r="7" spans="1:12" ht="13.8" x14ac:dyDescent="0.25">
      <c r="A7" s="11"/>
      <c r="B7" s="11"/>
      <c r="C7" s="71" t="s">
        <v>324</v>
      </c>
      <c r="D7" s="71"/>
      <c r="E7" s="71"/>
      <c r="F7" s="71"/>
      <c r="G7" s="71"/>
      <c r="H7" s="71"/>
      <c r="I7" s="71"/>
      <c r="J7" s="11"/>
      <c r="K7" s="36"/>
      <c r="L7" s="44"/>
    </row>
    <row r="8" spans="1:12" ht="13.8" x14ac:dyDescent="0.25">
      <c r="A8" s="76" t="s">
        <v>353</v>
      </c>
      <c r="B8" s="76"/>
      <c r="C8" s="94"/>
      <c r="D8" s="94"/>
      <c r="E8" s="94"/>
      <c r="F8" s="94"/>
      <c r="G8" s="94"/>
      <c r="H8" s="94"/>
      <c r="I8" s="35"/>
      <c r="J8" s="10" t="s">
        <v>323</v>
      </c>
      <c r="K8" s="95"/>
      <c r="L8" s="96"/>
    </row>
    <row r="9" spans="1:12" ht="13.8" x14ac:dyDescent="0.25">
      <c r="A9" s="11"/>
      <c r="B9" s="11"/>
      <c r="C9" s="71" t="s">
        <v>324</v>
      </c>
      <c r="D9" s="71"/>
      <c r="E9" s="71"/>
      <c r="F9" s="71"/>
      <c r="G9" s="71"/>
      <c r="H9" s="71"/>
      <c r="I9" s="71"/>
      <c r="J9" s="11"/>
      <c r="K9" s="36"/>
      <c r="L9" s="44"/>
    </row>
    <row r="10" spans="1:12" ht="13.8" x14ac:dyDescent="0.25">
      <c r="A10" s="76" t="s">
        <v>354</v>
      </c>
      <c r="B10" s="76"/>
      <c r="C10" s="94"/>
      <c r="D10" s="94"/>
      <c r="E10" s="94"/>
      <c r="F10" s="94"/>
      <c r="G10" s="94"/>
      <c r="H10" s="94"/>
      <c r="I10" s="94"/>
      <c r="J10" s="10" t="s">
        <v>323</v>
      </c>
      <c r="K10" s="95"/>
      <c r="L10" s="96"/>
    </row>
    <row r="11" spans="1:12" ht="13.8" x14ac:dyDescent="0.25">
      <c r="A11" s="11"/>
      <c r="B11" s="11"/>
      <c r="C11" s="71" t="s">
        <v>324</v>
      </c>
      <c r="D11" s="71"/>
      <c r="E11" s="71"/>
      <c r="F11" s="71"/>
      <c r="G11" s="71"/>
      <c r="H11" s="71"/>
      <c r="I11" s="71"/>
      <c r="J11" s="11"/>
      <c r="K11" s="36"/>
      <c r="L11" s="44"/>
    </row>
    <row r="12" spans="1:12" ht="13.8" x14ac:dyDescent="0.25">
      <c r="A12" s="76" t="s">
        <v>355</v>
      </c>
      <c r="B12" s="76"/>
      <c r="C12" s="94"/>
      <c r="D12" s="94"/>
      <c r="E12" s="94"/>
      <c r="F12" s="94"/>
      <c r="G12" s="94"/>
      <c r="H12" s="94"/>
      <c r="I12" s="94"/>
      <c r="J12" s="10" t="s">
        <v>323</v>
      </c>
      <c r="K12" s="95"/>
      <c r="L12" s="96"/>
    </row>
    <row r="13" spans="1:12" ht="13.8" x14ac:dyDescent="0.25">
      <c r="A13" s="11"/>
      <c r="B13" s="11"/>
      <c r="C13" s="71" t="s">
        <v>328</v>
      </c>
      <c r="D13" s="71"/>
      <c r="E13" s="71"/>
      <c r="F13" s="71"/>
      <c r="G13" s="71"/>
      <c r="H13" s="76" t="s">
        <v>356</v>
      </c>
      <c r="I13" s="76"/>
      <c r="J13" s="78"/>
      <c r="K13" s="90"/>
      <c r="L13" s="91"/>
    </row>
    <row r="14" spans="1:12" ht="13.8" x14ac:dyDescent="0.25">
      <c r="A14" s="11"/>
      <c r="B14" s="11"/>
      <c r="C14" s="11"/>
      <c r="D14" s="11"/>
      <c r="E14" s="76" t="s">
        <v>357</v>
      </c>
      <c r="F14" s="76"/>
      <c r="G14" s="76"/>
      <c r="H14" s="76"/>
      <c r="I14" s="97" t="s">
        <v>333</v>
      </c>
      <c r="J14" s="98"/>
      <c r="K14" s="90"/>
      <c r="L14" s="91"/>
    </row>
    <row r="15" spans="1:12" ht="13.8" x14ac:dyDescent="0.25">
      <c r="A15" s="11"/>
      <c r="B15" s="11"/>
      <c r="C15" s="11"/>
      <c r="D15" s="11"/>
      <c r="E15" s="11"/>
      <c r="F15" s="11"/>
      <c r="G15" s="11"/>
      <c r="H15" s="11"/>
      <c r="I15" s="99" t="s">
        <v>334</v>
      </c>
      <c r="J15" s="100"/>
      <c r="K15" s="101"/>
      <c r="L15" s="102"/>
    </row>
    <row r="16" spans="1:12" ht="13.8" x14ac:dyDescent="0.25">
      <c r="A16" s="11"/>
      <c r="B16" s="11"/>
      <c r="C16" s="11"/>
      <c r="D16" s="11"/>
      <c r="E16" s="11"/>
      <c r="F16" s="11"/>
      <c r="G16" s="11"/>
      <c r="H16" s="11"/>
      <c r="I16" s="98" t="s">
        <v>358</v>
      </c>
      <c r="J16" s="98"/>
      <c r="K16" s="103"/>
      <c r="L16" s="104"/>
    </row>
    <row r="17" spans="1:12" ht="13.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3.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8" x14ac:dyDescent="0.25">
      <c r="A19" s="11"/>
      <c r="B19" s="11"/>
      <c r="C19" s="105" t="s">
        <v>336</v>
      </c>
      <c r="D19" s="106"/>
      <c r="E19" s="105" t="s">
        <v>337</v>
      </c>
      <c r="F19" s="109"/>
      <c r="G19" s="11"/>
      <c r="H19" s="11"/>
      <c r="I19" s="105" t="s">
        <v>338</v>
      </c>
      <c r="J19" s="106"/>
      <c r="K19" s="106"/>
      <c r="L19" s="109"/>
    </row>
    <row r="20" spans="1:12" ht="13.8" x14ac:dyDescent="0.25">
      <c r="A20" s="11"/>
      <c r="B20" s="11"/>
      <c r="C20" s="107"/>
      <c r="D20" s="108"/>
      <c r="E20" s="107"/>
      <c r="F20" s="110"/>
      <c r="G20" s="11"/>
      <c r="H20" s="11"/>
      <c r="I20" s="111" t="s">
        <v>339</v>
      </c>
      <c r="J20" s="112"/>
      <c r="K20" s="111" t="s">
        <v>340</v>
      </c>
      <c r="L20" s="113"/>
    </row>
    <row r="21" spans="1:12" ht="13.8" x14ac:dyDescent="0.25">
      <c r="A21" s="11"/>
      <c r="B21" s="11"/>
      <c r="C21" s="114"/>
      <c r="D21" s="115"/>
      <c r="E21" s="116"/>
      <c r="F21" s="117"/>
      <c r="G21" s="45"/>
      <c r="H21" s="45"/>
      <c r="I21" s="116"/>
      <c r="J21" s="118"/>
      <c r="K21" s="116"/>
      <c r="L21" s="117"/>
    </row>
    <row r="22" spans="1:12" ht="13.8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3.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399999999999999" x14ac:dyDescent="0.3">
      <c r="A24" s="75" t="s">
        <v>359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7.399999999999999" x14ac:dyDescent="0.3">
      <c r="A25" s="75" t="s">
        <v>360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3.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3.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3.8" x14ac:dyDescent="0.25">
      <c r="A28" s="119" t="s">
        <v>361</v>
      </c>
      <c r="B28" s="119" t="s">
        <v>362</v>
      </c>
      <c r="C28" s="121"/>
      <c r="D28" s="121"/>
      <c r="E28" s="121"/>
      <c r="F28" s="119" t="s">
        <v>319</v>
      </c>
      <c r="G28" s="119" t="s">
        <v>363</v>
      </c>
      <c r="H28" s="121"/>
      <c r="I28" s="121"/>
      <c r="J28" s="121"/>
      <c r="K28" s="121"/>
      <c r="L28" s="123"/>
    </row>
    <row r="29" spans="1:12" x14ac:dyDescent="0.25">
      <c r="A29" s="120"/>
      <c r="B29" s="120"/>
      <c r="C29" s="122"/>
      <c r="D29" s="122"/>
      <c r="E29" s="122"/>
      <c r="F29" s="120"/>
      <c r="G29" s="119" t="s">
        <v>364</v>
      </c>
      <c r="H29" s="121"/>
      <c r="I29" s="119" t="s">
        <v>365</v>
      </c>
      <c r="J29" s="121"/>
      <c r="K29" s="119" t="s">
        <v>366</v>
      </c>
      <c r="L29" s="123"/>
    </row>
    <row r="30" spans="1:12" x14ac:dyDescent="0.25">
      <c r="A30" s="120"/>
      <c r="B30" s="120"/>
      <c r="C30" s="122"/>
      <c r="D30" s="122"/>
      <c r="E30" s="122"/>
      <c r="F30" s="120"/>
      <c r="G30" s="120"/>
      <c r="H30" s="122"/>
      <c r="I30" s="120"/>
      <c r="J30" s="122"/>
      <c r="K30" s="120"/>
      <c r="L30" s="124"/>
    </row>
    <row r="31" spans="1:12" x14ac:dyDescent="0.25">
      <c r="A31" s="120"/>
      <c r="B31" s="120"/>
      <c r="C31" s="122"/>
      <c r="D31" s="122"/>
      <c r="E31" s="122"/>
      <c r="F31" s="120"/>
      <c r="G31" s="120"/>
      <c r="H31" s="122"/>
      <c r="I31" s="120"/>
      <c r="J31" s="122"/>
      <c r="K31" s="120"/>
      <c r="L31" s="124"/>
    </row>
    <row r="32" spans="1:12" x14ac:dyDescent="0.25">
      <c r="A32" s="120"/>
      <c r="B32" s="120"/>
      <c r="C32" s="122"/>
      <c r="D32" s="122"/>
      <c r="E32" s="122"/>
      <c r="F32" s="120"/>
      <c r="G32" s="120"/>
      <c r="H32" s="122"/>
      <c r="I32" s="120"/>
      <c r="J32" s="122"/>
      <c r="K32" s="120"/>
      <c r="L32" s="124"/>
    </row>
    <row r="33" spans="1:12" ht="13.8" x14ac:dyDescent="0.25">
      <c r="A33" s="36">
        <v>1</v>
      </c>
      <c r="B33" s="90">
        <v>2</v>
      </c>
      <c r="C33" s="128"/>
      <c r="D33" s="128"/>
      <c r="E33" s="128"/>
      <c r="F33" s="36">
        <v>3</v>
      </c>
      <c r="G33" s="90">
        <v>4</v>
      </c>
      <c r="H33" s="128"/>
      <c r="I33" s="90">
        <v>5</v>
      </c>
      <c r="J33" s="128"/>
      <c r="K33" s="90">
        <v>6</v>
      </c>
      <c r="L33" s="91"/>
    </row>
    <row r="34" spans="1:12" ht="13.8" x14ac:dyDescent="0.25">
      <c r="A34" s="46"/>
      <c r="B34" s="129" t="s">
        <v>367</v>
      </c>
      <c r="C34" s="130"/>
      <c r="D34" s="130"/>
      <c r="E34" s="130"/>
      <c r="F34" s="47"/>
      <c r="G34" s="131"/>
      <c r="H34" s="132"/>
      <c r="I34" s="131"/>
      <c r="J34" s="132"/>
      <c r="K34" s="131"/>
      <c r="L34" s="133"/>
    </row>
    <row r="35" spans="1:12" ht="13.8" x14ac:dyDescent="0.25">
      <c r="A35" s="48"/>
      <c r="B35" s="134" t="s">
        <v>368</v>
      </c>
      <c r="C35" s="135"/>
      <c r="D35" s="135"/>
      <c r="E35" s="135"/>
      <c r="F35" s="135"/>
      <c r="G35" s="135"/>
      <c r="H35" s="135"/>
      <c r="I35" s="135"/>
      <c r="J35" s="135"/>
      <c r="K35" s="130"/>
      <c r="L35" s="136"/>
    </row>
    <row r="36" spans="1:12" ht="13.8" x14ac:dyDescent="0.25">
      <c r="A36" s="98" t="s">
        <v>168</v>
      </c>
      <c r="B36" s="98"/>
      <c r="C36" s="98"/>
      <c r="D36" s="98"/>
      <c r="E36" s="98"/>
      <c r="F36" s="98"/>
      <c r="G36" s="98"/>
      <c r="H36" s="98"/>
      <c r="I36" s="98"/>
      <c r="J36" s="137"/>
      <c r="K36" s="138"/>
      <c r="L36" s="137"/>
    </row>
    <row r="37" spans="1:12" ht="13.8" x14ac:dyDescent="0.25">
      <c r="A37" s="125" t="s">
        <v>369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39"/>
      <c r="L37" s="140"/>
    </row>
    <row r="38" spans="1:12" ht="13.8" x14ac:dyDescent="0.25">
      <c r="A38" s="125" t="s">
        <v>370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  <c r="L38" s="127"/>
    </row>
    <row r="39" spans="1:12" ht="13.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3.8" x14ac:dyDescent="0.25">
      <c r="A42" s="141" t="s">
        <v>353</v>
      </c>
      <c r="B42" s="141"/>
      <c r="C42" s="142"/>
      <c r="D42" s="142"/>
      <c r="E42" s="142"/>
      <c r="F42" s="11"/>
      <c r="G42" s="142"/>
      <c r="H42" s="142"/>
      <c r="I42" s="11"/>
      <c r="J42" s="142"/>
      <c r="K42" s="142"/>
      <c r="L42" s="142"/>
    </row>
    <row r="43" spans="1:12" ht="13.8" x14ac:dyDescent="0.25">
      <c r="A43" s="11"/>
      <c r="B43" s="11"/>
      <c r="C43" s="143" t="s">
        <v>371</v>
      </c>
      <c r="D43" s="143"/>
      <c r="E43" s="143"/>
      <c r="F43" s="11"/>
      <c r="G43" s="143" t="s">
        <v>372</v>
      </c>
      <c r="H43" s="143"/>
      <c r="I43" s="11"/>
      <c r="J43" s="143" t="s">
        <v>373</v>
      </c>
      <c r="K43" s="143"/>
      <c r="L43" s="143"/>
    </row>
    <row r="44" spans="1:12" ht="13.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8" x14ac:dyDescent="0.25">
      <c r="A45" s="10" t="s">
        <v>374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3.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8" x14ac:dyDescent="0.25">
      <c r="A49" s="141" t="s">
        <v>354</v>
      </c>
      <c r="B49" s="141"/>
      <c r="C49" s="142"/>
      <c r="D49" s="142"/>
      <c r="E49" s="142"/>
      <c r="F49" s="11"/>
      <c r="G49" s="142"/>
      <c r="H49" s="142"/>
      <c r="I49" s="11"/>
      <c r="J49" s="142"/>
      <c r="K49" s="142"/>
      <c r="L49" s="142"/>
    </row>
    <row r="50" spans="1:12" ht="13.8" x14ac:dyDescent="0.25">
      <c r="A50" s="11"/>
      <c r="B50" s="11"/>
      <c r="C50" s="143" t="s">
        <v>371</v>
      </c>
      <c r="D50" s="143"/>
      <c r="E50" s="143"/>
      <c r="F50" s="11"/>
      <c r="G50" s="143" t="s">
        <v>372</v>
      </c>
      <c r="H50" s="143"/>
      <c r="I50" s="11"/>
      <c r="J50" s="143" t="s">
        <v>373</v>
      </c>
      <c r="K50" s="143"/>
      <c r="L50" s="143"/>
    </row>
    <row r="51" spans="1:12" ht="13.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3.8" x14ac:dyDescent="0.25">
      <c r="A52" s="10" t="s">
        <v>374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28:A32"/>
    <mergeCell ref="B28:E32"/>
    <mergeCell ref="F28:F32"/>
    <mergeCell ref="G28:L28"/>
    <mergeCell ref="G29:H32"/>
    <mergeCell ref="I29:J32"/>
    <mergeCell ref="K29:L32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C13:G13"/>
    <mergeCell ref="H13:J13"/>
    <mergeCell ref="K13:L13"/>
    <mergeCell ref="E14:H14"/>
    <mergeCell ref="I14:J14"/>
    <mergeCell ref="K14:L1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I5:J5"/>
    <mergeCell ref="K5:L5"/>
    <mergeCell ref="A1:D1"/>
    <mergeCell ref="H1:L1"/>
    <mergeCell ref="H2:L2"/>
    <mergeCell ref="H3:L3"/>
    <mergeCell ref="K4:L4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0"/>
  <sheetViews>
    <sheetView workbookViewId="0">
      <selection activeCell="A106" sqref="A106:AA106"/>
    </sheetView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5">
      <c r="A12" s="1">
        <v>1</v>
      </c>
      <c r="B12" s="1">
        <v>105</v>
      </c>
      <c r="C12" s="1">
        <v>0</v>
      </c>
      <c r="D12" s="1">
        <f>ROW(A70)</f>
        <v>70</v>
      </c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5">
      <c r="A18" s="2">
        <v>52</v>
      </c>
      <c r="B18" s="2">
        <f t="shared" ref="B18:G18" si="0">B70</f>
        <v>105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КЛ-0,4 от ул.Центральная, д.6 до ул.Центральная, д.8.  Благоустройство.</v>
      </c>
      <c r="G18" s="2" t="str">
        <f t="shared" si="0"/>
        <v>КЛ-0,4 от ул.Центральная, д.6 до ул.Центральная, д.8.  Благоустройство.</v>
      </c>
      <c r="H18" s="2"/>
      <c r="I18" s="2"/>
      <c r="J18" s="2"/>
      <c r="K18" s="2"/>
      <c r="L18" s="2"/>
      <c r="M18" s="2"/>
      <c r="N18" s="2"/>
      <c r="O18" s="2">
        <f t="shared" ref="O18:AT18" si="1">O70</f>
        <v>55920.21</v>
      </c>
      <c r="P18" s="2">
        <f t="shared" si="1"/>
        <v>14573.27</v>
      </c>
      <c r="Q18" s="2">
        <f t="shared" si="1"/>
        <v>303.73</v>
      </c>
      <c r="R18" s="2">
        <f t="shared" si="1"/>
        <v>132.18</v>
      </c>
      <c r="S18" s="2">
        <f t="shared" si="1"/>
        <v>41043.21</v>
      </c>
      <c r="T18" s="2">
        <f t="shared" si="1"/>
        <v>0</v>
      </c>
      <c r="U18" s="2">
        <f t="shared" si="1"/>
        <v>167.21151350540001</v>
      </c>
      <c r="V18" s="2">
        <f t="shared" si="1"/>
        <v>0</v>
      </c>
      <c r="W18" s="2">
        <f t="shared" si="1"/>
        <v>0</v>
      </c>
      <c r="X18" s="2">
        <f t="shared" si="1"/>
        <v>31006.85</v>
      </c>
      <c r="Y18" s="2">
        <f t="shared" si="1"/>
        <v>17071.330000000002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104205.9</v>
      </c>
      <c r="AS18" s="2">
        <f t="shared" si="1"/>
        <v>104205.9</v>
      </c>
      <c r="AT18" s="2">
        <f t="shared" si="1"/>
        <v>0</v>
      </c>
      <c r="AU18" s="2">
        <f t="shared" ref="AU18:BZ18" si="2">AU70</f>
        <v>0</v>
      </c>
      <c r="AV18" s="2">
        <f t="shared" si="2"/>
        <v>14573.27</v>
      </c>
      <c r="AW18" s="2">
        <f t="shared" si="2"/>
        <v>14573.27</v>
      </c>
      <c r="AX18" s="2">
        <f t="shared" si="2"/>
        <v>0</v>
      </c>
      <c r="AY18" s="2">
        <f t="shared" si="2"/>
        <v>14573.27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CA70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DG70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EM70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FS70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5">
      <c r="A20" s="1">
        <v>3</v>
      </c>
      <c r="B20" s="1">
        <v>1</v>
      </c>
      <c r="C20" s="1"/>
      <c r="D20" s="1">
        <f>ROW(A41)</f>
        <v>41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5">
      <c r="A22" s="2">
        <v>52</v>
      </c>
      <c r="B22" s="2">
        <f t="shared" ref="B22:G22" si="7">B41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Благоустройство.</v>
      </c>
      <c r="H22" s="2"/>
      <c r="I22" s="2"/>
      <c r="J22" s="2"/>
      <c r="K22" s="2"/>
      <c r="L22" s="2"/>
      <c r="M22" s="2"/>
      <c r="N22" s="2"/>
      <c r="O22" s="2">
        <f t="shared" ref="O22:AT22" si="8">O41</f>
        <v>55920.21</v>
      </c>
      <c r="P22" s="2">
        <f t="shared" si="8"/>
        <v>14573.27</v>
      </c>
      <c r="Q22" s="2">
        <f t="shared" si="8"/>
        <v>303.73</v>
      </c>
      <c r="R22" s="2">
        <f t="shared" si="8"/>
        <v>132.18</v>
      </c>
      <c r="S22" s="2">
        <f t="shared" si="8"/>
        <v>41043.21</v>
      </c>
      <c r="T22" s="2">
        <f t="shared" si="8"/>
        <v>0</v>
      </c>
      <c r="U22" s="2">
        <f t="shared" si="8"/>
        <v>167.21151350540001</v>
      </c>
      <c r="V22" s="2">
        <f t="shared" si="8"/>
        <v>0</v>
      </c>
      <c r="W22" s="2">
        <f t="shared" si="8"/>
        <v>0</v>
      </c>
      <c r="X22" s="2">
        <f t="shared" si="8"/>
        <v>31006.85</v>
      </c>
      <c r="Y22" s="2">
        <f t="shared" si="8"/>
        <v>17071.330000000002</v>
      </c>
      <c r="Z22" s="2">
        <f t="shared" si="8"/>
        <v>0</v>
      </c>
      <c r="AA22" s="2">
        <f t="shared" si="8"/>
        <v>0</v>
      </c>
      <c r="AB22" s="2">
        <f t="shared" si="8"/>
        <v>55920.21</v>
      </c>
      <c r="AC22" s="2">
        <f t="shared" si="8"/>
        <v>14573.27</v>
      </c>
      <c r="AD22" s="2">
        <f t="shared" si="8"/>
        <v>303.73</v>
      </c>
      <c r="AE22" s="2">
        <f t="shared" si="8"/>
        <v>132.18</v>
      </c>
      <c r="AF22" s="2">
        <f t="shared" si="8"/>
        <v>41043.21</v>
      </c>
      <c r="AG22" s="2">
        <f t="shared" si="8"/>
        <v>0</v>
      </c>
      <c r="AH22" s="2">
        <f t="shared" si="8"/>
        <v>167.21151350540001</v>
      </c>
      <c r="AI22" s="2">
        <f t="shared" si="8"/>
        <v>0</v>
      </c>
      <c r="AJ22" s="2">
        <f t="shared" si="8"/>
        <v>0</v>
      </c>
      <c r="AK22" s="2">
        <f t="shared" si="8"/>
        <v>31006.85</v>
      </c>
      <c r="AL22" s="2">
        <f t="shared" si="8"/>
        <v>17071.330000000002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104205.9</v>
      </c>
      <c r="AS22" s="2">
        <f t="shared" si="8"/>
        <v>104205.9</v>
      </c>
      <c r="AT22" s="2">
        <f t="shared" si="8"/>
        <v>0</v>
      </c>
      <c r="AU22" s="2">
        <f t="shared" ref="AU22:BZ22" si="9">AU41</f>
        <v>0</v>
      </c>
      <c r="AV22" s="2">
        <f t="shared" si="9"/>
        <v>14573.27</v>
      </c>
      <c r="AW22" s="2">
        <f t="shared" si="9"/>
        <v>14573.27</v>
      </c>
      <c r="AX22" s="2">
        <f t="shared" si="9"/>
        <v>0</v>
      </c>
      <c r="AY22" s="2">
        <f t="shared" si="9"/>
        <v>14573.27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CA41</f>
        <v>104205.9</v>
      </c>
      <c r="CB22" s="2">
        <f t="shared" si="10"/>
        <v>104205.9</v>
      </c>
      <c r="CC22" s="2">
        <f t="shared" si="10"/>
        <v>0</v>
      </c>
      <c r="CD22" s="2">
        <f t="shared" si="10"/>
        <v>0</v>
      </c>
      <c r="CE22" s="2">
        <f t="shared" si="10"/>
        <v>14573.27</v>
      </c>
      <c r="CF22" s="2">
        <f t="shared" si="10"/>
        <v>14573.27</v>
      </c>
      <c r="CG22" s="2">
        <f t="shared" si="10"/>
        <v>0</v>
      </c>
      <c r="CH22" s="2">
        <f t="shared" si="10"/>
        <v>14573.27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DG41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EM41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FS41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21</v>
      </c>
      <c r="F24" t="s">
        <v>22</v>
      </c>
      <c r="G24" t="s">
        <v>23</v>
      </c>
      <c r="H24" t="s">
        <v>24</v>
      </c>
      <c r="I24">
        <f>ROUND((2*0.6*0.05*2)/100,9)</f>
        <v>1.1999999999999999E-3</v>
      </c>
      <c r="J24">
        <v>0</v>
      </c>
      <c r="O24">
        <f t="shared" ref="O24:O39" si="14">ROUND(CP24,2)</f>
        <v>112.46</v>
      </c>
      <c r="P24">
        <f t="shared" ref="P24:P39" si="15">ROUND((ROUND((AC24*AW24*I24),2)*BC24),2)</f>
        <v>0</v>
      </c>
      <c r="Q24">
        <f>(ROUND((ROUND((((ET24*1.25))*AV24*I24),2)*BB24),2)+ROUND((ROUND(((AE24-((EU24*1.25)))*AV24*I24),2)*BS24),2))</f>
        <v>47.46</v>
      </c>
      <c r="R24">
        <f t="shared" ref="R24:R39" si="16">ROUND((ROUND((AE24*AV24*I24),2)*BS24),2)</f>
        <v>28.21</v>
      </c>
      <c r="S24">
        <f t="shared" ref="S24:S39" si="17">ROUND((ROUND((AF24*AV24*I24),2)*BA24),2)</f>
        <v>65</v>
      </c>
      <c r="T24">
        <f t="shared" ref="T24:T39" si="18">ROUND(CU24*I24,2)</f>
        <v>0</v>
      </c>
      <c r="U24">
        <f t="shared" ref="U24:U39" si="19">CV24*I24</f>
        <v>0.24342749999999996</v>
      </c>
      <c r="V24">
        <f t="shared" ref="V24:V39" si="20">CW24*I24</f>
        <v>0</v>
      </c>
      <c r="W24">
        <f t="shared" ref="W24:W39" si="21">ROUND(CX24*I24,2)</f>
        <v>0</v>
      </c>
      <c r="X24">
        <f t="shared" ref="X24:X39" si="22">ROUND(CY24,2)</f>
        <v>44.2</v>
      </c>
      <c r="Y24">
        <f t="shared" ref="Y24:Y39" si="23">ROUND(CZ24,2)</f>
        <v>26.65</v>
      </c>
      <c r="AA24">
        <v>23231056</v>
      </c>
      <c r="AB24">
        <f t="shared" ref="AB24:AB39" si="24">ROUND((AC24+AD24+AF24),6)</f>
        <v>5501.875</v>
      </c>
      <c r="AC24">
        <f t="shared" ref="AC24:AC39" si="25">ROUND((ES24),6)</f>
        <v>0</v>
      </c>
      <c r="AD24">
        <f>ROUND(((((ET24*1.25))-((EU24*1.25)))+AE24),6)</f>
        <v>3391.9375</v>
      </c>
      <c r="AE24">
        <f>ROUND(((EU24*1.25)),6)</f>
        <v>919.03750000000002</v>
      </c>
      <c r="AF24">
        <f>ROUND(((EV24*1.25)),6)</f>
        <v>2109.9375</v>
      </c>
      <c r="AG24">
        <f t="shared" ref="AG24:AG39" si="26">ROUND((AP24),6)</f>
        <v>0</v>
      </c>
      <c r="AH24">
        <f>((EW24*1.25))</f>
        <v>193.75</v>
      </c>
      <c r="AI24">
        <f>((EX24*1.25))</f>
        <v>0</v>
      </c>
      <c r="AJ24">
        <f t="shared" ref="AJ24:AJ39" si="27">(AS24)</f>
        <v>0</v>
      </c>
      <c r="AK24">
        <v>4401.5</v>
      </c>
      <c r="AL24">
        <v>0</v>
      </c>
      <c r="AM24">
        <v>2713.55</v>
      </c>
      <c r="AN24">
        <v>735.23</v>
      </c>
      <c r="AO24">
        <v>1687.95</v>
      </c>
      <c r="AP24">
        <v>0</v>
      </c>
      <c r="AQ24">
        <v>155</v>
      </c>
      <c r="AR24">
        <v>0</v>
      </c>
      <c r="AS24">
        <v>0</v>
      </c>
      <c r="AT24">
        <v>68</v>
      </c>
      <c r="AU24">
        <v>41</v>
      </c>
      <c r="AV24">
        <v>1.0469999999999999</v>
      </c>
      <c r="AW24">
        <v>1</v>
      </c>
      <c r="AZ24">
        <v>1</v>
      </c>
      <c r="BA24">
        <v>24.53</v>
      </c>
      <c r="BB24">
        <v>11.14</v>
      </c>
      <c r="BC24">
        <v>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1</v>
      </c>
      <c r="BJ24" t="s">
        <v>25</v>
      </c>
      <c r="BM24">
        <v>674</v>
      </c>
      <c r="BN24">
        <v>0</v>
      </c>
      <c r="BO24" t="s">
        <v>22</v>
      </c>
      <c r="BP24">
        <v>1</v>
      </c>
      <c r="BQ24">
        <v>60</v>
      </c>
      <c r="BR24">
        <v>0</v>
      </c>
      <c r="BS24">
        <v>24.53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68</v>
      </c>
      <c r="CA24">
        <v>41</v>
      </c>
      <c r="CE24">
        <v>30</v>
      </c>
      <c r="CF24">
        <v>0</v>
      </c>
      <c r="CG24">
        <v>0</v>
      </c>
      <c r="CM24">
        <v>0</v>
      </c>
      <c r="CN24" t="s">
        <v>26</v>
      </c>
      <c r="CO24">
        <v>0</v>
      </c>
      <c r="CP24">
        <f t="shared" ref="CP24:CP39" si="28">(P24+Q24+S24)</f>
        <v>112.46000000000001</v>
      </c>
      <c r="CQ24">
        <f t="shared" ref="CQ24:CQ39" si="29">ROUND((ROUND((AC24*AW24*1),2)*BC24),2)</f>
        <v>0</v>
      </c>
      <c r="CR24">
        <f>(ROUND((ROUND((((ET24*1.25))*AV24*1),2)*BB24),2)+ROUND((ROUND(((AE24-((EU24*1.25)))*AV24*1),2)*BS24),2))</f>
        <v>39562.15</v>
      </c>
      <c r="CS24">
        <f t="shared" ref="CS24:CS39" si="30">ROUND((ROUND((AE24*AV24*1),2)*BS24),2)</f>
        <v>23603.5</v>
      </c>
      <c r="CT24">
        <f t="shared" ref="CT24:CT39" si="31">ROUND((ROUND((AF24*AV24*1),2)*BA24),2)</f>
        <v>54189.22</v>
      </c>
      <c r="CU24">
        <f t="shared" ref="CU24:CU39" si="32">AG24</f>
        <v>0</v>
      </c>
      <c r="CV24">
        <f t="shared" ref="CV24:CV39" si="33">(AH24*AV24)</f>
        <v>202.85624999999999</v>
      </c>
      <c r="CW24">
        <f t="shared" ref="CW24:CW39" si="34">AI24</f>
        <v>0</v>
      </c>
      <c r="CX24">
        <f t="shared" ref="CX24:CX39" si="35">AJ24</f>
        <v>0</v>
      </c>
      <c r="CY24">
        <f t="shared" ref="CY24:CY39" si="36">S24*(BZ24/100)</f>
        <v>44.2</v>
      </c>
      <c r="CZ24">
        <f t="shared" ref="CZ24:CZ39" si="37">S24*(CA24/100)</f>
        <v>26.65</v>
      </c>
      <c r="DC24" t="s">
        <v>3</v>
      </c>
      <c r="DD24" t="s">
        <v>3</v>
      </c>
      <c r="DE24" t="s">
        <v>27</v>
      </c>
      <c r="DF24" t="s">
        <v>27</v>
      </c>
      <c r="DG24" t="s">
        <v>27</v>
      </c>
      <c r="DH24" t="s">
        <v>3</v>
      </c>
      <c r="DI24" t="s">
        <v>27</v>
      </c>
      <c r="DJ24" t="s">
        <v>27</v>
      </c>
      <c r="DK24" t="s">
        <v>3</v>
      </c>
      <c r="DL24" t="s">
        <v>3</v>
      </c>
      <c r="DM24" t="s">
        <v>3</v>
      </c>
      <c r="DN24">
        <v>80</v>
      </c>
      <c r="DO24">
        <v>55</v>
      </c>
      <c r="DP24">
        <v>1.0469999999999999</v>
      </c>
      <c r="DQ24">
        <v>1</v>
      </c>
      <c r="DU24">
        <v>1007</v>
      </c>
      <c r="DV24" t="s">
        <v>24</v>
      </c>
      <c r="DW24" t="s">
        <v>24</v>
      </c>
      <c r="DX24">
        <v>100</v>
      </c>
      <c r="EE24">
        <v>22827515</v>
      </c>
      <c r="EF24">
        <v>60</v>
      </c>
      <c r="EG24" t="s">
        <v>28</v>
      </c>
      <c r="EH24">
        <v>0</v>
      </c>
      <c r="EI24" t="s">
        <v>3</v>
      </c>
      <c r="EJ24">
        <v>1</v>
      </c>
      <c r="EK24">
        <v>674</v>
      </c>
      <c r="EL24" t="s">
        <v>29</v>
      </c>
      <c r="EM24" t="s">
        <v>30</v>
      </c>
      <c r="EO24" t="s">
        <v>31</v>
      </c>
      <c r="EQ24">
        <v>0</v>
      </c>
      <c r="ER24">
        <v>4401.5</v>
      </c>
      <c r="ES24">
        <v>0</v>
      </c>
      <c r="ET24">
        <v>2713.55</v>
      </c>
      <c r="EU24">
        <v>735.23</v>
      </c>
      <c r="EV24">
        <v>1687.95</v>
      </c>
      <c r="EW24">
        <v>155</v>
      </c>
      <c r="EX24">
        <v>0</v>
      </c>
      <c r="EY24">
        <v>0</v>
      </c>
      <c r="FQ24">
        <v>0</v>
      </c>
      <c r="FR24">
        <f t="shared" ref="FR24:FR39" si="38">ROUND(IF(AND(BH24=3,BI24=3),P24,0),2)</f>
        <v>0</v>
      </c>
      <c r="FS24">
        <v>0</v>
      </c>
      <c r="FX24">
        <v>80</v>
      </c>
      <c r="FY24">
        <v>55</v>
      </c>
      <c r="GA24" t="s">
        <v>3</v>
      </c>
      <c r="GD24">
        <v>0</v>
      </c>
      <c r="GF24">
        <v>-1001401666</v>
      </c>
      <c r="GG24">
        <v>2</v>
      </c>
      <c r="GH24">
        <v>1</v>
      </c>
      <c r="GI24">
        <v>2</v>
      </c>
      <c r="GJ24">
        <v>0</v>
      </c>
      <c r="GK24">
        <f>ROUND(R24*(R12)/100,2)</f>
        <v>44.29</v>
      </c>
      <c r="GL24">
        <f t="shared" ref="GL24:GL39" si="39">ROUND(IF(AND(BH24=3,BI24=3,FS24&lt;&gt;0),P24,0),2)</f>
        <v>0</v>
      </c>
      <c r="GM24">
        <f t="shared" ref="GM24:GM39" si="40">ROUND(O24+X24+Y24+GK24,2)+GX24</f>
        <v>227.6</v>
      </c>
      <c r="GN24">
        <f t="shared" ref="GN24:GN39" si="41">IF(OR(BI24=0,BI24=1),ROUND(O24+X24+Y24+GK24,2),0)</f>
        <v>227.6</v>
      </c>
      <c r="GO24">
        <f t="shared" ref="GO24:GO39" si="42">IF(BI24=2,ROUND(O24+X24+Y24+GK24,2),0)</f>
        <v>0</v>
      </c>
      <c r="GP24">
        <f t="shared" ref="GP24:GP39" si="43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39" si="44">ROUND((GT24),6)</f>
        <v>0</v>
      </c>
      <c r="GW24">
        <v>1</v>
      </c>
      <c r="GX24">
        <f t="shared" ref="GX24:GX39" si="45">ROUND(HC24*I24,2)</f>
        <v>0</v>
      </c>
      <c r="HA24">
        <v>0</v>
      </c>
      <c r="HB24">
        <v>0</v>
      </c>
      <c r="HC24">
        <f t="shared" ref="HC24:HC39" si="46">GV24*GW24</f>
        <v>0</v>
      </c>
      <c r="IK24">
        <v>0</v>
      </c>
    </row>
    <row r="25" spans="1:245" x14ac:dyDescent="0.25">
      <c r="A25">
        <v>17</v>
      </c>
      <c r="B25">
        <v>1</v>
      </c>
      <c r="C25">
        <f>ROW(SmtRes!A13)</f>
        <v>13</v>
      </c>
      <c r="D25">
        <f>ROW(EtalonRes!A13)</f>
        <v>13</v>
      </c>
      <c r="E25" t="s">
        <v>32</v>
      </c>
      <c r="F25" t="s">
        <v>33</v>
      </c>
      <c r="G25" t="s">
        <v>34</v>
      </c>
      <c r="H25" t="s">
        <v>24</v>
      </c>
      <c r="I25">
        <f>ROUND(I24/0.05*0.3,9)</f>
        <v>7.1999999999999998E-3</v>
      </c>
      <c r="J25">
        <v>0</v>
      </c>
      <c r="O25">
        <f t="shared" si="14"/>
        <v>87.97</v>
      </c>
      <c r="P25">
        <f t="shared" si="15"/>
        <v>1.19</v>
      </c>
      <c r="Q25">
        <f>(ROUND((ROUND((((ET25*1.15))*AV25*I25),2)*BB25),2)+ROUND((ROUND(((AE25-((EU25*1.15)))*AV25*I25),2)*BS25),2))</f>
        <v>58.37</v>
      </c>
      <c r="R25">
        <f t="shared" si="16"/>
        <v>22.34</v>
      </c>
      <c r="S25">
        <f t="shared" si="17"/>
        <v>28.41</v>
      </c>
      <c r="T25">
        <f t="shared" si="18"/>
        <v>0</v>
      </c>
      <c r="U25">
        <f t="shared" si="19"/>
        <v>0.12483590399999997</v>
      </c>
      <c r="V25">
        <f t="shared" si="20"/>
        <v>0</v>
      </c>
      <c r="W25">
        <f t="shared" si="21"/>
        <v>0</v>
      </c>
      <c r="X25">
        <f t="shared" si="22"/>
        <v>37.22</v>
      </c>
      <c r="Y25">
        <f t="shared" si="23"/>
        <v>15.34</v>
      </c>
      <c r="AA25">
        <v>23231056</v>
      </c>
      <c r="AB25">
        <f t="shared" si="24"/>
        <v>987.50400000000002</v>
      </c>
      <c r="AC25">
        <f t="shared" si="25"/>
        <v>35.35</v>
      </c>
      <c r="AD25">
        <f>ROUND(((((ET25*1.15))-((EU25*1.15)))+AE25),6)</f>
        <v>777.94050000000004</v>
      </c>
      <c r="AE25">
        <f>ROUND(((EU25*1.15)),6)</f>
        <v>136.9075</v>
      </c>
      <c r="AF25">
        <f>ROUND(((EV25*1.15)),6)</f>
        <v>174.21350000000001</v>
      </c>
      <c r="AG25">
        <f t="shared" si="26"/>
        <v>0</v>
      </c>
      <c r="AH25">
        <f>((EW25*1.15))</f>
        <v>16.559999999999999</v>
      </c>
      <c r="AI25">
        <f>((EX25*1.15))</f>
        <v>0</v>
      </c>
      <c r="AJ25">
        <f t="shared" si="27"/>
        <v>0</v>
      </c>
      <c r="AK25">
        <v>863.31</v>
      </c>
      <c r="AL25">
        <v>35.35</v>
      </c>
      <c r="AM25">
        <v>676.47</v>
      </c>
      <c r="AN25">
        <v>119.05</v>
      </c>
      <c r="AO25">
        <v>151.49</v>
      </c>
      <c r="AP25">
        <v>0</v>
      </c>
      <c r="AQ25">
        <v>14.4</v>
      </c>
      <c r="AR25">
        <v>0</v>
      </c>
      <c r="AS25">
        <v>0</v>
      </c>
      <c r="AT25">
        <v>131</v>
      </c>
      <c r="AU25">
        <v>54</v>
      </c>
      <c r="AV25">
        <v>1.0469999999999999</v>
      </c>
      <c r="AW25">
        <v>1.002</v>
      </c>
      <c r="AZ25">
        <v>1</v>
      </c>
      <c r="BA25">
        <v>21.69</v>
      </c>
      <c r="BB25">
        <v>9.9600000000000009</v>
      </c>
      <c r="BC25">
        <v>4.5599999999999996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35</v>
      </c>
      <c r="BM25">
        <v>146</v>
      </c>
      <c r="BN25">
        <v>0</v>
      </c>
      <c r="BO25" t="s">
        <v>33</v>
      </c>
      <c r="BP25">
        <v>1</v>
      </c>
      <c r="BQ25">
        <v>30</v>
      </c>
      <c r="BR25">
        <v>0</v>
      </c>
      <c r="BS25">
        <v>21.69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131</v>
      </c>
      <c r="CA25">
        <v>54</v>
      </c>
      <c r="CE25">
        <v>30</v>
      </c>
      <c r="CF25">
        <v>0</v>
      </c>
      <c r="CG25">
        <v>0</v>
      </c>
      <c r="CM25">
        <v>0</v>
      </c>
      <c r="CN25" t="s">
        <v>36</v>
      </c>
      <c r="CO25">
        <v>0</v>
      </c>
      <c r="CP25">
        <f t="shared" si="28"/>
        <v>87.97</v>
      </c>
      <c r="CQ25">
        <f t="shared" si="29"/>
        <v>161.52000000000001</v>
      </c>
      <c r="CR25">
        <f>(ROUND((ROUND((((ET25*1.15))*AV25*1),2)*BB25),2)+ROUND((ROUND(((AE25-((EU25*1.15)))*AV25*1),2)*BS25),2))</f>
        <v>8112.42</v>
      </c>
      <c r="CS25">
        <f t="shared" si="30"/>
        <v>3109.04</v>
      </c>
      <c r="CT25">
        <f t="shared" si="31"/>
        <v>3956.26</v>
      </c>
      <c r="CU25">
        <f t="shared" si="32"/>
        <v>0</v>
      </c>
      <c r="CV25">
        <f t="shared" si="33"/>
        <v>17.338319999999996</v>
      </c>
      <c r="CW25">
        <f t="shared" si="34"/>
        <v>0</v>
      </c>
      <c r="CX25">
        <f t="shared" si="35"/>
        <v>0</v>
      </c>
      <c r="CY25">
        <f t="shared" si="36"/>
        <v>37.217100000000002</v>
      </c>
      <c r="CZ25">
        <f t="shared" si="37"/>
        <v>15.341400000000002</v>
      </c>
      <c r="DC25" t="s">
        <v>3</v>
      </c>
      <c r="DD25" t="s">
        <v>3</v>
      </c>
      <c r="DE25" t="s">
        <v>37</v>
      </c>
      <c r="DF25" t="s">
        <v>37</v>
      </c>
      <c r="DG25" t="s">
        <v>37</v>
      </c>
      <c r="DH25" t="s">
        <v>3</v>
      </c>
      <c r="DI25" t="s">
        <v>37</v>
      </c>
      <c r="DJ25" t="s">
        <v>37</v>
      </c>
      <c r="DK25" t="s">
        <v>3</v>
      </c>
      <c r="DL25" t="s">
        <v>3</v>
      </c>
      <c r="DM25" t="s">
        <v>3</v>
      </c>
      <c r="DN25">
        <v>161</v>
      </c>
      <c r="DO25">
        <v>107</v>
      </c>
      <c r="DP25">
        <v>1.0469999999999999</v>
      </c>
      <c r="DQ25">
        <v>1.002</v>
      </c>
      <c r="DU25">
        <v>1007</v>
      </c>
      <c r="DV25" t="s">
        <v>24</v>
      </c>
      <c r="DW25" t="s">
        <v>24</v>
      </c>
      <c r="DX25">
        <v>100</v>
      </c>
      <c r="EE25">
        <v>22826987</v>
      </c>
      <c r="EF25">
        <v>30</v>
      </c>
      <c r="EG25" t="s">
        <v>38</v>
      </c>
      <c r="EH25">
        <v>0</v>
      </c>
      <c r="EI25" t="s">
        <v>3</v>
      </c>
      <c r="EJ25">
        <v>1</v>
      </c>
      <c r="EK25">
        <v>146</v>
      </c>
      <c r="EL25" t="s">
        <v>39</v>
      </c>
      <c r="EM25" t="s">
        <v>40</v>
      </c>
      <c r="EO25" t="s">
        <v>41</v>
      </c>
      <c r="EQ25">
        <v>0</v>
      </c>
      <c r="ER25">
        <v>863.31</v>
      </c>
      <c r="ES25">
        <v>35.35</v>
      </c>
      <c r="ET25">
        <v>676.47</v>
      </c>
      <c r="EU25">
        <v>119.05</v>
      </c>
      <c r="EV25">
        <v>151.49</v>
      </c>
      <c r="EW25">
        <v>14.4</v>
      </c>
      <c r="EX25">
        <v>0</v>
      </c>
      <c r="EY25">
        <v>0</v>
      </c>
      <c r="FQ25">
        <v>0</v>
      </c>
      <c r="FR25">
        <f t="shared" si="38"/>
        <v>0</v>
      </c>
      <c r="FS25">
        <v>0</v>
      </c>
      <c r="FX25">
        <v>161</v>
      </c>
      <c r="FY25">
        <v>107</v>
      </c>
      <c r="GA25" t="s">
        <v>3</v>
      </c>
      <c r="GD25">
        <v>0</v>
      </c>
      <c r="GF25">
        <v>603877523</v>
      </c>
      <c r="GG25">
        <v>2</v>
      </c>
      <c r="GH25">
        <v>1</v>
      </c>
      <c r="GI25">
        <v>2</v>
      </c>
      <c r="GJ25">
        <v>0</v>
      </c>
      <c r="GK25">
        <f>ROUND(R25*(R12)/100,2)</f>
        <v>35.07</v>
      </c>
      <c r="GL25">
        <f t="shared" si="39"/>
        <v>0</v>
      </c>
      <c r="GM25">
        <f t="shared" si="40"/>
        <v>175.6</v>
      </c>
      <c r="GN25">
        <f t="shared" si="41"/>
        <v>175.6</v>
      </c>
      <c r="GO25">
        <f t="shared" si="42"/>
        <v>0</v>
      </c>
      <c r="GP25">
        <f t="shared" si="43"/>
        <v>0</v>
      </c>
      <c r="GR25">
        <v>0</v>
      </c>
      <c r="GS25">
        <v>3</v>
      </c>
      <c r="GT25">
        <v>0</v>
      </c>
      <c r="GU25" t="s">
        <v>3</v>
      </c>
      <c r="GV25">
        <f t="shared" si="44"/>
        <v>0</v>
      </c>
      <c r="GW25">
        <v>1</v>
      </c>
      <c r="GX25">
        <f t="shared" si="45"/>
        <v>0</v>
      </c>
      <c r="HA25">
        <v>0</v>
      </c>
      <c r="HB25">
        <v>0</v>
      </c>
      <c r="HC25">
        <f t="shared" si="46"/>
        <v>0</v>
      </c>
      <c r="IK25">
        <v>0</v>
      </c>
    </row>
    <row r="26" spans="1:245" x14ac:dyDescent="0.25">
      <c r="A26">
        <v>18</v>
      </c>
      <c r="B26">
        <v>1</v>
      </c>
      <c r="C26">
        <v>13</v>
      </c>
      <c r="E26" t="s">
        <v>42</v>
      </c>
      <c r="F26" t="s">
        <v>43</v>
      </c>
      <c r="G26" t="s">
        <v>44</v>
      </c>
      <c r="H26" t="s">
        <v>45</v>
      </c>
      <c r="I26">
        <f>I25*J26</f>
        <v>0.72</v>
      </c>
      <c r="J26">
        <v>100</v>
      </c>
      <c r="O26">
        <f t="shared" si="14"/>
        <v>416.57</v>
      </c>
      <c r="P26">
        <f t="shared" si="15"/>
        <v>416.57</v>
      </c>
      <c r="Q26">
        <f>(ROUND((ROUND(((ET26)*AV26*I26),2)*BB26),2)+ROUND((ROUND(((AE26-(EU26))*AV26*I26),2)*BS26),2))</f>
        <v>0</v>
      </c>
      <c r="R26">
        <f t="shared" si="16"/>
        <v>0</v>
      </c>
      <c r="S26">
        <f t="shared" si="17"/>
        <v>0</v>
      </c>
      <c r="T26">
        <f t="shared" si="18"/>
        <v>0</v>
      </c>
      <c r="U26">
        <f t="shared" si="19"/>
        <v>0</v>
      </c>
      <c r="V26">
        <f t="shared" si="20"/>
        <v>0</v>
      </c>
      <c r="W26">
        <f t="shared" si="21"/>
        <v>0</v>
      </c>
      <c r="X26">
        <f t="shared" si="22"/>
        <v>0</v>
      </c>
      <c r="Y26">
        <f t="shared" si="23"/>
        <v>0</v>
      </c>
      <c r="AA26">
        <v>23231056</v>
      </c>
      <c r="AB26">
        <f t="shared" si="24"/>
        <v>104.99</v>
      </c>
      <c r="AC26">
        <f t="shared" si="25"/>
        <v>104.99</v>
      </c>
      <c r="AD26">
        <f>ROUND((((ET26)-(EU26))+AE26),6)</f>
        <v>0</v>
      </c>
      <c r="AE26">
        <f>ROUND((EU26),6)</f>
        <v>0</v>
      </c>
      <c r="AF26">
        <f>ROUND((EV26),6)</f>
        <v>0</v>
      </c>
      <c r="AG26">
        <f t="shared" si="26"/>
        <v>0</v>
      </c>
      <c r="AH26">
        <f>(EW26)</f>
        <v>0</v>
      </c>
      <c r="AI26">
        <f>(EX26)</f>
        <v>0</v>
      </c>
      <c r="AJ26">
        <f t="shared" si="27"/>
        <v>0</v>
      </c>
      <c r="AK26">
        <v>104.99</v>
      </c>
      <c r="AL26">
        <v>104.99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1.002</v>
      </c>
      <c r="AZ26">
        <v>1</v>
      </c>
      <c r="BA26">
        <v>1</v>
      </c>
      <c r="BB26">
        <v>1</v>
      </c>
      <c r="BC26">
        <v>5.5</v>
      </c>
      <c r="BD26" t="s">
        <v>3</v>
      </c>
      <c r="BE26" t="s">
        <v>3</v>
      </c>
      <c r="BF26" t="s">
        <v>3</v>
      </c>
      <c r="BG26" t="s">
        <v>3</v>
      </c>
      <c r="BH26">
        <v>3</v>
      </c>
      <c r="BI26">
        <v>1</v>
      </c>
      <c r="BJ26" t="s">
        <v>46</v>
      </c>
      <c r="BM26">
        <v>146</v>
      </c>
      <c r="BN26">
        <v>0</v>
      </c>
      <c r="BO26" t="s">
        <v>43</v>
      </c>
      <c r="BP26">
        <v>1</v>
      </c>
      <c r="BQ26">
        <v>30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0</v>
      </c>
      <c r="CA26">
        <v>0</v>
      </c>
      <c r="CE26">
        <v>30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28"/>
        <v>416.57</v>
      </c>
      <c r="CQ26">
        <f t="shared" si="29"/>
        <v>578.6</v>
      </c>
      <c r="CR26">
        <f>(ROUND((ROUND(((ET26)*AV26*1),2)*BB26),2)+ROUND((ROUND(((AE26-(EU26))*AV26*1),2)*BS26),2))</f>
        <v>0</v>
      </c>
      <c r="CS26">
        <f t="shared" si="30"/>
        <v>0</v>
      </c>
      <c r="CT26">
        <f t="shared" si="31"/>
        <v>0</v>
      </c>
      <c r="CU26">
        <f t="shared" si="32"/>
        <v>0</v>
      </c>
      <c r="CV26">
        <f t="shared" si="33"/>
        <v>0</v>
      </c>
      <c r="CW26">
        <f t="shared" si="34"/>
        <v>0</v>
      </c>
      <c r="CX26">
        <f t="shared" si="35"/>
        <v>0</v>
      </c>
      <c r="CY26">
        <f t="shared" si="36"/>
        <v>0</v>
      </c>
      <c r="CZ26">
        <f t="shared" si="37"/>
        <v>0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161</v>
      </c>
      <c r="DO26">
        <v>107</v>
      </c>
      <c r="DP26">
        <v>1.0469999999999999</v>
      </c>
      <c r="DQ26">
        <v>1.002</v>
      </c>
      <c r="DU26">
        <v>1007</v>
      </c>
      <c r="DV26" t="s">
        <v>45</v>
      </c>
      <c r="DW26" t="s">
        <v>45</v>
      </c>
      <c r="DX26">
        <v>1</v>
      </c>
      <c r="EE26">
        <v>22826987</v>
      </c>
      <c r="EF26">
        <v>30</v>
      </c>
      <c r="EG26" t="s">
        <v>38</v>
      </c>
      <c r="EH26">
        <v>0</v>
      </c>
      <c r="EI26" t="s">
        <v>3</v>
      </c>
      <c r="EJ26">
        <v>1</v>
      </c>
      <c r="EK26">
        <v>146</v>
      </c>
      <c r="EL26" t="s">
        <v>39</v>
      </c>
      <c r="EM26" t="s">
        <v>40</v>
      </c>
      <c r="EO26" t="s">
        <v>3</v>
      </c>
      <c r="EQ26">
        <v>0</v>
      </c>
      <c r="ER26">
        <v>104.99</v>
      </c>
      <c r="ES26">
        <v>104.99</v>
      </c>
      <c r="ET26">
        <v>0</v>
      </c>
      <c r="EU26">
        <v>0</v>
      </c>
      <c r="EV26">
        <v>0</v>
      </c>
      <c r="EW26">
        <v>0</v>
      </c>
      <c r="EX26">
        <v>0</v>
      </c>
      <c r="FQ26">
        <v>0</v>
      </c>
      <c r="FR26">
        <f t="shared" si="38"/>
        <v>0</v>
      </c>
      <c r="FS26">
        <v>0</v>
      </c>
      <c r="FX26">
        <v>161</v>
      </c>
      <c r="FY26">
        <v>107</v>
      </c>
      <c r="GA26" t="s">
        <v>3</v>
      </c>
      <c r="GD26">
        <v>0</v>
      </c>
      <c r="GF26">
        <v>-419971176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9"/>
        <v>0</v>
      </c>
      <c r="GM26">
        <f t="shared" si="40"/>
        <v>416.57</v>
      </c>
      <c r="GN26">
        <f t="shared" si="41"/>
        <v>416.57</v>
      </c>
      <c r="GO26">
        <f t="shared" si="42"/>
        <v>0</v>
      </c>
      <c r="GP26">
        <f t="shared" si="43"/>
        <v>0</v>
      </c>
      <c r="GR26">
        <v>0</v>
      </c>
      <c r="GS26">
        <v>0</v>
      </c>
      <c r="GT26">
        <v>0</v>
      </c>
      <c r="GU26" t="s">
        <v>3</v>
      </c>
      <c r="GV26">
        <f t="shared" si="44"/>
        <v>0</v>
      </c>
      <c r="GW26">
        <v>1</v>
      </c>
      <c r="GX26">
        <f t="shared" si="45"/>
        <v>0</v>
      </c>
      <c r="HA26">
        <v>0</v>
      </c>
      <c r="HB26">
        <v>0</v>
      </c>
      <c r="HC26">
        <f t="shared" si="46"/>
        <v>0</v>
      </c>
      <c r="IK26">
        <v>0</v>
      </c>
    </row>
    <row r="27" spans="1:245" x14ac:dyDescent="0.25">
      <c r="A27">
        <v>17</v>
      </c>
      <c r="B27">
        <v>1</v>
      </c>
      <c r="C27">
        <f>ROW(SmtRes!A22)</f>
        <v>22</v>
      </c>
      <c r="D27">
        <f>ROW(EtalonRes!A22)</f>
        <v>22</v>
      </c>
      <c r="E27" t="s">
        <v>47</v>
      </c>
      <c r="F27" t="s">
        <v>48</v>
      </c>
      <c r="G27" t="s">
        <v>49</v>
      </c>
      <c r="H27" t="s">
        <v>24</v>
      </c>
      <c r="I27">
        <f>ROUND(I24/0.3*0.25,9)</f>
        <v>1E-3</v>
      </c>
      <c r="J27">
        <v>0</v>
      </c>
      <c r="O27">
        <f t="shared" si="14"/>
        <v>59.41</v>
      </c>
      <c r="P27">
        <f t="shared" si="15"/>
        <v>0.25</v>
      </c>
      <c r="Q27">
        <f>(ROUND((ROUND((((ET27*1.15))*AV27*I27),2)*BB27),2)+ROUND((ROUND(((AE27-((EU27*1.15)))*AV27*I27),2)*BS27),2))</f>
        <v>52.54</v>
      </c>
      <c r="R27">
        <f t="shared" si="16"/>
        <v>14.23</v>
      </c>
      <c r="S27">
        <f t="shared" si="17"/>
        <v>6.62</v>
      </c>
      <c r="T27">
        <f t="shared" si="18"/>
        <v>0</v>
      </c>
      <c r="U27">
        <f t="shared" si="19"/>
        <v>2.6007479999999999E-2</v>
      </c>
      <c r="V27">
        <f t="shared" si="20"/>
        <v>0</v>
      </c>
      <c r="W27">
        <f t="shared" si="21"/>
        <v>0</v>
      </c>
      <c r="X27">
        <f t="shared" si="22"/>
        <v>7.41</v>
      </c>
      <c r="Y27">
        <f t="shared" si="23"/>
        <v>2.71</v>
      </c>
      <c r="AA27">
        <v>23231056</v>
      </c>
      <c r="AB27">
        <f t="shared" si="24"/>
        <v>6272.1170000000002</v>
      </c>
      <c r="AC27">
        <f t="shared" si="25"/>
        <v>49.49</v>
      </c>
      <c r="AD27">
        <f>ROUND(((((ET27*1.15))-((EU27*1.15)))+AE27),6)</f>
        <v>5961.3125</v>
      </c>
      <c r="AE27">
        <f>ROUND(((EU27*1.15)),6)</f>
        <v>553.24199999999996</v>
      </c>
      <c r="AF27">
        <f>ROUND(((EV27*1.15)),6)</f>
        <v>261.31450000000001</v>
      </c>
      <c r="AG27">
        <f t="shared" si="26"/>
        <v>0</v>
      </c>
      <c r="AH27">
        <f>((EW27*1.15))</f>
        <v>24.84</v>
      </c>
      <c r="AI27">
        <f>((EX27*1.15))</f>
        <v>0</v>
      </c>
      <c r="AJ27">
        <f t="shared" si="27"/>
        <v>0</v>
      </c>
      <c r="AK27">
        <v>5460.47</v>
      </c>
      <c r="AL27">
        <v>49.49</v>
      </c>
      <c r="AM27">
        <v>5183.75</v>
      </c>
      <c r="AN27">
        <v>481.08</v>
      </c>
      <c r="AO27">
        <v>227.23</v>
      </c>
      <c r="AP27">
        <v>0</v>
      </c>
      <c r="AQ27">
        <v>21.6</v>
      </c>
      <c r="AR27">
        <v>0</v>
      </c>
      <c r="AS27">
        <v>0</v>
      </c>
      <c r="AT27">
        <v>112</v>
      </c>
      <c r="AU27">
        <v>41</v>
      </c>
      <c r="AV27">
        <v>1.0469999999999999</v>
      </c>
      <c r="AW27">
        <v>1.002</v>
      </c>
      <c r="AZ27">
        <v>1</v>
      </c>
      <c r="BA27">
        <v>24.53</v>
      </c>
      <c r="BB27">
        <v>8.42</v>
      </c>
      <c r="BC27">
        <v>4.99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50</v>
      </c>
      <c r="BM27">
        <v>146</v>
      </c>
      <c r="BN27">
        <v>0</v>
      </c>
      <c r="BO27" t="s">
        <v>48</v>
      </c>
      <c r="BP27">
        <v>1</v>
      </c>
      <c r="BQ27">
        <v>30</v>
      </c>
      <c r="BR27">
        <v>0</v>
      </c>
      <c r="BS27">
        <v>24.53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112</v>
      </c>
      <c r="CA27">
        <v>41</v>
      </c>
      <c r="CE27">
        <v>30</v>
      </c>
      <c r="CF27">
        <v>0</v>
      </c>
      <c r="CG27">
        <v>0</v>
      </c>
      <c r="CM27">
        <v>0</v>
      </c>
      <c r="CN27" t="s">
        <v>36</v>
      </c>
      <c r="CO27">
        <v>0</v>
      </c>
      <c r="CP27">
        <f t="shared" si="28"/>
        <v>59.41</v>
      </c>
      <c r="CQ27">
        <f t="shared" si="29"/>
        <v>247.45</v>
      </c>
      <c r="CR27">
        <f>(ROUND((ROUND((((ET27*1.15))*AV27*1),2)*BB27),2)+ROUND((ROUND(((AE27-((EU27*1.15)))*AV27*1),2)*BS27),2))</f>
        <v>52553.35</v>
      </c>
      <c r="CS27">
        <f t="shared" si="30"/>
        <v>14208.76</v>
      </c>
      <c r="CT27">
        <f t="shared" si="31"/>
        <v>6711.41</v>
      </c>
      <c r="CU27">
        <f t="shared" si="32"/>
        <v>0</v>
      </c>
      <c r="CV27">
        <f t="shared" si="33"/>
        <v>26.007479999999997</v>
      </c>
      <c r="CW27">
        <f t="shared" si="34"/>
        <v>0</v>
      </c>
      <c r="CX27">
        <f t="shared" si="35"/>
        <v>0</v>
      </c>
      <c r="CY27">
        <f t="shared" si="36"/>
        <v>7.4144000000000005</v>
      </c>
      <c r="CZ27">
        <f t="shared" si="37"/>
        <v>2.7141999999999999</v>
      </c>
      <c r="DC27" t="s">
        <v>3</v>
      </c>
      <c r="DD27" t="s">
        <v>3</v>
      </c>
      <c r="DE27" t="s">
        <v>37</v>
      </c>
      <c r="DF27" t="s">
        <v>37</v>
      </c>
      <c r="DG27" t="s">
        <v>37</v>
      </c>
      <c r="DH27" t="s">
        <v>3</v>
      </c>
      <c r="DI27" t="s">
        <v>37</v>
      </c>
      <c r="DJ27" t="s">
        <v>37</v>
      </c>
      <c r="DK27" t="s">
        <v>3</v>
      </c>
      <c r="DL27" t="s">
        <v>3</v>
      </c>
      <c r="DM27" t="s">
        <v>3</v>
      </c>
      <c r="DN27">
        <v>140</v>
      </c>
      <c r="DO27">
        <v>79</v>
      </c>
      <c r="DP27">
        <v>1.0469999999999999</v>
      </c>
      <c r="DQ27">
        <v>1.002</v>
      </c>
      <c r="DU27">
        <v>1007</v>
      </c>
      <c r="DV27" t="s">
        <v>24</v>
      </c>
      <c r="DW27" t="s">
        <v>24</v>
      </c>
      <c r="DX27">
        <v>100</v>
      </c>
      <c r="EE27">
        <v>22826987</v>
      </c>
      <c r="EF27">
        <v>30</v>
      </c>
      <c r="EG27" t="s">
        <v>38</v>
      </c>
      <c r="EH27">
        <v>0</v>
      </c>
      <c r="EI27" t="s">
        <v>3</v>
      </c>
      <c r="EJ27">
        <v>1</v>
      </c>
      <c r="EK27">
        <v>146</v>
      </c>
      <c r="EL27" t="s">
        <v>39</v>
      </c>
      <c r="EM27" t="s">
        <v>40</v>
      </c>
      <c r="EO27" t="s">
        <v>41</v>
      </c>
      <c r="EQ27">
        <v>0</v>
      </c>
      <c r="ER27">
        <v>5460.47</v>
      </c>
      <c r="ES27">
        <v>49.49</v>
      </c>
      <c r="ET27">
        <v>5183.75</v>
      </c>
      <c r="EU27">
        <v>481.08</v>
      </c>
      <c r="EV27">
        <v>227.23</v>
      </c>
      <c r="EW27">
        <v>21.6</v>
      </c>
      <c r="EX27">
        <v>0</v>
      </c>
      <c r="EY27">
        <v>0</v>
      </c>
      <c r="FQ27">
        <v>0</v>
      </c>
      <c r="FR27">
        <f t="shared" si="38"/>
        <v>0</v>
      </c>
      <c r="FS27">
        <v>0</v>
      </c>
      <c r="FX27">
        <v>140</v>
      </c>
      <c r="FY27">
        <v>79</v>
      </c>
      <c r="GA27" t="s">
        <v>3</v>
      </c>
      <c r="GD27">
        <v>0</v>
      </c>
      <c r="GF27">
        <v>1060070071</v>
      </c>
      <c r="GG27">
        <v>2</v>
      </c>
      <c r="GH27">
        <v>1</v>
      </c>
      <c r="GI27">
        <v>2</v>
      </c>
      <c r="GJ27">
        <v>0</v>
      </c>
      <c r="GK27">
        <f>ROUND(R27*(R12)/100,2)</f>
        <v>22.34</v>
      </c>
      <c r="GL27">
        <f t="shared" si="39"/>
        <v>0</v>
      </c>
      <c r="GM27">
        <f t="shared" si="40"/>
        <v>91.87</v>
      </c>
      <c r="GN27">
        <f t="shared" si="41"/>
        <v>91.87</v>
      </c>
      <c r="GO27">
        <f t="shared" si="42"/>
        <v>0</v>
      </c>
      <c r="GP27">
        <f t="shared" si="43"/>
        <v>0</v>
      </c>
      <c r="GR27">
        <v>0</v>
      </c>
      <c r="GS27">
        <v>0</v>
      </c>
      <c r="GT27">
        <v>0</v>
      </c>
      <c r="GU27" t="s">
        <v>3</v>
      </c>
      <c r="GV27">
        <f t="shared" si="44"/>
        <v>0</v>
      </c>
      <c r="GW27">
        <v>1</v>
      </c>
      <c r="GX27">
        <f t="shared" si="45"/>
        <v>0</v>
      </c>
      <c r="HA27">
        <v>0</v>
      </c>
      <c r="HB27">
        <v>0</v>
      </c>
      <c r="HC27">
        <f t="shared" si="46"/>
        <v>0</v>
      </c>
      <c r="IK27">
        <v>0</v>
      </c>
    </row>
    <row r="28" spans="1:245" x14ac:dyDescent="0.25">
      <c r="A28">
        <v>18</v>
      </c>
      <c r="B28">
        <v>1</v>
      </c>
      <c r="C28">
        <v>22</v>
      </c>
      <c r="E28" t="s">
        <v>51</v>
      </c>
      <c r="F28" t="s">
        <v>52</v>
      </c>
      <c r="G28" t="s">
        <v>53</v>
      </c>
      <c r="H28" t="s">
        <v>45</v>
      </c>
      <c r="I28">
        <f>I27*J28</f>
        <v>0.1</v>
      </c>
      <c r="J28">
        <v>100</v>
      </c>
      <c r="O28">
        <f t="shared" si="14"/>
        <v>184.87</v>
      </c>
      <c r="P28">
        <f t="shared" si="15"/>
        <v>184.87</v>
      </c>
      <c r="Q28">
        <f>(ROUND((ROUND(((ET28)*AV28*I28),2)*BB28),2)+ROUND((ROUND(((AE28-(EU28))*AV28*I28),2)*BS28),2))</f>
        <v>0</v>
      </c>
      <c r="R28">
        <f t="shared" si="16"/>
        <v>0</v>
      </c>
      <c r="S28">
        <f t="shared" si="17"/>
        <v>0</v>
      </c>
      <c r="T28">
        <f t="shared" si="18"/>
        <v>0</v>
      </c>
      <c r="U28">
        <f t="shared" si="19"/>
        <v>0</v>
      </c>
      <c r="V28">
        <f t="shared" si="20"/>
        <v>0</v>
      </c>
      <c r="W28">
        <f t="shared" si="21"/>
        <v>0</v>
      </c>
      <c r="X28">
        <f t="shared" si="22"/>
        <v>0</v>
      </c>
      <c r="Y28">
        <f t="shared" si="23"/>
        <v>0</v>
      </c>
      <c r="AA28">
        <v>23231056</v>
      </c>
      <c r="AB28">
        <f t="shared" si="24"/>
        <v>234.69</v>
      </c>
      <c r="AC28">
        <f t="shared" si="25"/>
        <v>234.69</v>
      </c>
      <c r="AD28">
        <f>ROUND((((ET28)-(EU28))+AE28),6)</f>
        <v>0</v>
      </c>
      <c r="AE28">
        <f>ROUND((EU28),6)</f>
        <v>0</v>
      </c>
      <c r="AF28">
        <f>ROUND((EV28),6)</f>
        <v>0</v>
      </c>
      <c r="AG28">
        <f t="shared" si="26"/>
        <v>0</v>
      </c>
      <c r="AH28">
        <f>(EW28)</f>
        <v>0</v>
      </c>
      <c r="AI28">
        <f>(EX28)</f>
        <v>0</v>
      </c>
      <c r="AJ28">
        <f t="shared" si="27"/>
        <v>0</v>
      </c>
      <c r="AK28">
        <v>234.69</v>
      </c>
      <c r="AL28">
        <v>234.69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1.002</v>
      </c>
      <c r="AZ28">
        <v>1</v>
      </c>
      <c r="BA28">
        <v>1</v>
      </c>
      <c r="BB28">
        <v>1</v>
      </c>
      <c r="BC28">
        <v>7.86</v>
      </c>
      <c r="BD28" t="s">
        <v>3</v>
      </c>
      <c r="BE28" t="s">
        <v>3</v>
      </c>
      <c r="BF28" t="s">
        <v>3</v>
      </c>
      <c r="BG28" t="s">
        <v>3</v>
      </c>
      <c r="BH28">
        <v>3</v>
      </c>
      <c r="BI28">
        <v>1</v>
      </c>
      <c r="BJ28" t="s">
        <v>54</v>
      </c>
      <c r="BM28">
        <v>146</v>
      </c>
      <c r="BN28">
        <v>0</v>
      </c>
      <c r="BO28" t="s">
        <v>52</v>
      </c>
      <c r="BP28">
        <v>1</v>
      </c>
      <c r="BQ28">
        <v>30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0</v>
      </c>
      <c r="CA28">
        <v>0</v>
      </c>
      <c r="CE28">
        <v>30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28"/>
        <v>184.87</v>
      </c>
      <c r="CQ28">
        <f t="shared" si="29"/>
        <v>1848.36</v>
      </c>
      <c r="CR28">
        <f>(ROUND((ROUND(((ET28)*AV28*1),2)*BB28),2)+ROUND((ROUND(((AE28-(EU28))*AV28*1),2)*BS28),2))</f>
        <v>0</v>
      </c>
      <c r="CS28">
        <f t="shared" si="30"/>
        <v>0</v>
      </c>
      <c r="CT28">
        <f t="shared" si="31"/>
        <v>0</v>
      </c>
      <c r="CU28">
        <f t="shared" si="32"/>
        <v>0</v>
      </c>
      <c r="CV28">
        <f t="shared" si="33"/>
        <v>0</v>
      </c>
      <c r="CW28">
        <f t="shared" si="34"/>
        <v>0</v>
      </c>
      <c r="CX28">
        <f t="shared" si="35"/>
        <v>0</v>
      </c>
      <c r="CY28">
        <f t="shared" si="36"/>
        <v>0</v>
      </c>
      <c r="CZ28">
        <f t="shared" si="37"/>
        <v>0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161</v>
      </c>
      <c r="DO28">
        <v>107</v>
      </c>
      <c r="DP28">
        <v>1.0469999999999999</v>
      </c>
      <c r="DQ28">
        <v>1.002</v>
      </c>
      <c r="DU28">
        <v>1007</v>
      </c>
      <c r="DV28" t="s">
        <v>45</v>
      </c>
      <c r="DW28" t="s">
        <v>45</v>
      </c>
      <c r="DX28">
        <v>1</v>
      </c>
      <c r="EE28">
        <v>22826987</v>
      </c>
      <c r="EF28">
        <v>30</v>
      </c>
      <c r="EG28" t="s">
        <v>38</v>
      </c>
      <c r="EH28">
        <v>0</v>
      </c>
      <c r="EI28" t="s">
        <v>3</v>
      </c>
      <c r="EJ28">
        <v>1</v>
      </c>
      <c r="EK28">
        <v>146</v>
      </c>
      <c r="EL28" t="s">
        <v>39</v>
      </c>
      <c r="EM28" t="s">
        <v>40</v>
      </c>
      <c r="EO28" t="s">
        <v>3</v>
      </c>
      <c r="EQ28">
        <v>0</v>
      </c>
      <c r="ER28">
        <v>234.69</v>
      </c>
      <c r="ES28">
        <v>234.69</v>
      </c>
      <c r="ET28">
        <v>0</v>
      </c>
      <c r="EU28">
        <v>0</v>
      </c>
      <c r="EV28">
        <v>0</v>
      </c>
      <c r="EW28">
        <v>0</v>
      </c>
      <c r="EX28">
        <v>0</v>
      </c>
      <c r="FQ28">
        <v>0</v>
      </c>
      <c r="FR28">
        <f t="shared" si="38"/>
        <v>0</v>
      </c>
      <c r="FS28">
        <v>0</v>
      </c>
      <c r="FX28">
        <v>161</v>
      </c>
      <c r="FY28">
        <v>107</v>
      </c>
      <c r="GA28" t="s">
        <v>3</v>
      </c>
      <c r="GD28">
        <v>0</v>
      </c>
      <c r="GF28">
        <v>-249176104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9"/>
        <v>0</v>
      </c>
      <c r="GM28">
        <f t="shared" si="40"/>
        <v>184.87</v>
      </c>
      <c r="GN28">
        <f t="shared" si="41"/>
        <v>184.87</v>
      </c>
      <c r="GO28">
        <f t="shared" si="42"/>
        <v>0</v>
      </c>
      <c r="GP28">
        <f t="shared" si="43"/>
        <v>0</v>
      </c>
      <c r="GR28">
        <v>0</v>
      </c>
      <c r="GS28">
        <v>3</v>
      </c>
      <c r="GT28">
        <v>0</v>
      </c>
      <c r="GU28" t="s">
        <v>3</v>
      </c>
      <c r="GV28">
        <f t="shared" si="44"/>
        <v>0</v>
      </c>
      <c r="GW28">
        <v>1</v>
      </c>
      <c r="GX28">
        <f t="shared" si="45"/>
        <v>0</v>
      </c>
      <c r="HA28">
        <v>0</v>
      </c>
      <c r="HB28">
        <v>0</v>
      </c>
      <c r="HC28">
        <f t="shared" si="46"/>
        <v>0</v>
      </c>
      <c r="IK28">
        <v>0</v>
      </c>
    </row>
    <row r="29" spans="1:245" x14ac:dyDescent="0.25">
      <c r="A29">
        <v>17</v>
      </c>
      <c r="B29">
        <v>1</v>
      </c>
      <c r="C29">
        <f>ROW(SmtRes!A25)</f>
        <v>25</v>
      </c>
      <c r="D29">
        <f>ROW(EtalonRes!A25)</f>
        <v>25</v>
      </c>
      <c r="E29" t="s">
        <v>55</v>
      </c>
      <c r="F29" t="s">
        <v>56</v>
      </c>
      <c r="G29" t="s">
        <v>57</v>
      </c>
      <c r="H29" t="s">
        <v>24</v>
      </c>
      <c r="I29">
        <f>ROUND(I24/0.3*0.6,9)</f>
        <v>2.3999999999999998E-3</v>
      </c>
      <c r="J29">
        <v>0</v>
      </c>
      <c r="O29">
        <f t="shared" si="14"/>
        <v>37.049999999999997</v>
      </c>
      <c r="P29">
        <f t="shared" si="15"/>
        <v>0</v>
      </c>
      <c r="Q29">
        <f>(ROUND((ROUND((((ET29*1.15))*AV29*I29),2)*BB29),2)+ROUND((ROUND(((AE29-((EU29*1.15)))*AV29*I29),2)*BS29),2))</f>
        <v>26.75</v>
      </c>
      <c r="R29">
        <f t="shared" si="16"/>
        <v>16.440000000000001</v>
      </c>
      <c r="S29">
        <f t="shared" si="17"/>
        <v>10.3</v>
      </c>
      <c r="T29">
        <f t="shared" si="18"/>
        <v>0</v>
      </c>
      <c r="U29">
        <f t="shared" si="19"/>
        <v>3.7277387999999995E-2</v>
      </c>
      <c r="V29">
        <f t="shared" si="20"/>
        <v>0</v>
      </c>
      <c r="W29">
        <f t="shared" si="21"/>
        <v>0</v>
      </c>
      <c r="X29">
        <f t="shared" si="22"/>
        <v>9.48</v>
      </c>
      <c r="Y29">
        <f t="shared" si="23"/>
        <v>5.15</v>
      </c>
      <c r="AA29">
        <v>23231056</v>
      </c>
      <c r="AB29">
        <f t="shared" si="24"/>
        <v>1047.4775</v>
      </c>
      <c r="AC29">
        <f t="shared" si="25"/>
        <v>0</v>
      </c>
      <c r="AD29">
        <f>ROUND(((((ET29*1.15))-((EU29*1.15)))+AE29),6)</f>
        <v>881.62450000000001</v>
      </c>
      <c r="AE29">
        <f t="shared" ref="AE29:AF31" si="47">ROUND(((EU29*1.15)),6)</f>
        <v>266.9495</v>
      </c>
      <c r="AF29">
        <f t="shared" si="47"/>
        <v>165.85300000000001</v>
      </c>
      <c r="AG29">
        <f t="shared" si="26"/>
        <v>0</v>
      </c>
      <c r="AH29">
        <f t="shared" ref="AH29:AI31" si="48">((EW29*1.15))</f>
        <v>14.834999999999999</v>
      </c>
      <c r="AI29">
        <f t="shared" si="48"/>
        <v>0</v>
      </c>
      <c r="AJ29">
        <f t="shared" si="27"/>
        <v>0</v>
      </c>
      <c r="AK29">
        <v>910.85</v>
      </c>
      <c r="AL29">
        <v>0</v>
      </c>
      <c r="AM29">
        <v>766.63</v>
      </c>
      <c r="AN29">
        <v>232.13</v>
      </c>
      <c r="AO29">
        <v>144.22</v>
      </c>
      <c r="AP29">
        <v>0</v>
      </c>
      <c r="AQ29">
        <v>12.9</v>
      </c>
      <c r="AR29">
        <v>0</v>
      </c>
      <c r="AS29">
        <v>0</v>
      </c>
      <c r="AT29">
        <v>92</v>
      </c>
      <c r="AU29">
        <v>50</v>
      </c>
      <c r="AV29">
        <v>1.0469999999999999</v>
      </c>
      <c r="AW29">
        <v>1</v>
      </c>
      <c r="AZ29">
        <v>1</v>
      </c>
      <c r="BA29">
        <v>24.53</v>
      </c>
      <c r="BB29">
        <v>12.05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58</v>
      </c>
      <c r="BM29">
        <v>10</v>
      </c>
      <c r="BN29">
        <v>0</v>
      </c>
      <c r="BO29" t="s">
        <v>56</v>
      </c>
      <c r="BP29">
        <v>1</v>
      </c>
      <c r="BQ29">
        <v>30</v>
      </c>
      <c r="BR29">
        <v>0</v>
      </c>
      <c r="BS29">
        <v>24.53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92</v>
      </c>
      <c r="CA29">
        <v>50</v>
      </c>
      <c r="CE29">
        <v>30</v>
      </c>
      <c r="CF29">
        <v>0</v>
      </c>
      <c r="CG29">
        <v>0</v>
      </c>
      <c r="CM29">
        <v>0</v>
      </c>
      <c r="CN29" t="s">
        <v>36</v>
      </c>
      <c r="CO29">
        <v>0</v>
      </c>
      <c r="CP29">
        <f t="shared" si="28"/>
        <v>37.049999999999997</v>
      </c>
      <c r="CQ29">
        <f t="shared" si="29"/>
        <v>0</v>
      </c>
      <c r="CR29">
        <f>(ROUND((ROUND((((ET29*1.15))*AV29*1),2)*BB29),2)+ROUND((ROUND(((AE29-((EU29*1.15)))*AV29*1),2)*BS29),2))</f>
        <v>11122.87</v>
      </c>
      <c r="CS29">
        <f t="shared" si="30"/>
        <v>6856.14</v>
      </c>
      <c r="CT29">
        <f t="shared" si="31"/>
        <v>4259.63</v>
      </c>
      <c r="CU29">
        <f t="shared" si="32"/>
        <v>0</v>
      </c>
      <c r="CV29">
        <f t="shared" si="33"/>
        <v>15.532244999999998</v>
      </c>
      <c r="CW29">
        <f t="shared" si="34"/>
        <v>0</v>
      </c>
      <c r="CX29">
        <f t="shared" si="35"/>
        <v>0</v>
      </c>
      <c r="CY29">
        <f t="shared" si="36"/>
        <v>9.4760000000000009</v>
      </c>
      <c r="CZ29">
        <f t="shared" si="37"/>
        <v>5.15</v>
      </c>
      <c r="DC29" t="s">
        <v>3</v>
      </c>
      <c r="DD29" t="s">
        <v>3</v>
      </c>
      <c r="DE29" t="s">
        <v>37</v>
      </c>
      <c r="DF29" t="s">
        <v>37</v>
      </c>
      <c r="DG29" t="s">
        <v>37</v>
      </c>
      <c r="DH29" t="s">
        <v>3</v>
      </c>
      <c r="DI29" t="s">
        <v>37</v>
      </c>
      <c r="DJ29" t="s">
        <v>37</v>
      </c>
      <c r="DK29" t="s">
        <v>3</v>
      </c>
      <c r="DL29" t="s">
        <v>3</v>
      </c>
      <c r="DM29" t="s">
        <v>3</v>
      </c>
      <c r="DN29">
        <v>98</v>
      </c>
      <c r="DO29">
        <v>77</v>
      </c>
      <c r="DP29">
        <v>1.0469999999999999</v>
      </c>
      <c r="DQ29">
        <v>1</v>
      </c>
      <c r="DU29">
        <v>1007</v>
      </c>
      <c r="DV29" t="s">
        <v>24</v>
      </c>
      <c r="DW29" t="s">
        <v>24</v>
      </c>
      <c r="DX29">
        <v>100</v>
      </c>
      <c r="EE29">
        <v>22826851</v>
      </c>
      <c r="EF29">
        <v>30</v>
      </c>
      <c r="EG29" t="s">
        <v>38</v>
      </c>
      <c r="EH29">
        <v>0</v>
      </c>
      <c r="EI29" t="s">
        <v>3</v>
      </c>
      <c r="EJ29">
        <v>1</v>
      </c>
      <c r="EK29">
        <v>10</v>
      </c>
      <c r="EL29" t="s">
        <v>59</v>
      </c>
      <c r="EM29" t="s">
        <v>60</v>
      </c>
      <c r="EO29" t="s">
        <v>41</v>
      </c>
      <c r="EQ29">
        <v>0</v>
      </c>
      <c r="ER29">
        <v>910.85</v>
      </c>
      <c r="ES29">
        <v>0</v>
      </c>
      <c r="ET29">
        <v>766.63</v>
      </c>
      <c r="EU29">
        <v>232.13</v>
      </c>
      <c r="EV29">
        <v>144.22</v>
      </c>
      <c r="EW29">
        <v>12.9</v>
      </c>
      <c r="EX29">
        <v>0</v>
      </c>
      <c r="EY29">
        <v>0</v>
      </c>
      <c r="FQ29">
        <v>0</v>
      </c>
      <c r="FR29">
        <f t="shared" si="38"/>
        <v>0</v>
      </c>
      <c r="FS29">
        <v>0</v>
      </c>
      <c r="FX29">
        <v>98</v>
      </c>
      <c r="FY29">
        <v>77</v>
      </c>
      <c r="GA29" t="s">
        <v>3</v>
      </c>
      <c r="GD29">
        <v>0</v>
      </c>
      <c r="GF29">
        <v>-584735693</v>
      </c>
      <c r="GG29">
        <v>2</v>
      </c>
      <c r="GH29">
        <v>1</v>
      </c>
      <c r="GI29">
        <v>2</v>
      </c>
      <c r="GJ29">
        <v>0</v>
      </c>
      <c r="GK29">
        <f>ROUND(R29*(R12)/100,2)</f>
        <v>25.81</v>
      </c>
      <c r="GL29">
        <f t="shared" si="39"/>
        <v>0</v>
      </c>
      <c r="GM29">
        <f t="shared" si="40"/>
        <v>77.489999999999995</v>
      </c>
      <c r="GN29">
        <f t="shared" si="41"/>
        <v>77.489999999999995</v>
      </c>
      <c r="GO29">
        <f t="shared" si="42"/>
        <v>0</v>
      </c>
      <c r="GP29">
        <f t="shared" si="43"/>
        <v>0</v>
      </c>
      <c r="GR29">
        <v>0</v>
      </c>
      <c r="GS29">
        <v>0</v>
      </c>
      <c r="GT29">
        <v>0</v>
      </c>
      <c r="GU29" t="s">
        <v>3</v>
      </c>
      <c r="GV29">
        <f t="shared" si="44"/>
        <v>0</v>
      </c>
      <c r="GW29">
        <v>1</v>
      </c>
      <c r="GX29">
        <f t="shared" si="45"/>
        <v>0</v>
      </c>
      <c r="HA29">
        <v>0</v>
      </c>
      <c r="HB29">
        <v>0</v>
      </c>
      <c r="HC29">
        <f t="shared" si="46"/>
        <v>0</v>
      </c>
      <c r="IK29">
        <v>0</v>
      </c>
    </row>
    <row r="30" spans="1:245" x14ac:dyDescent="0.25">
      <c r="A30">
        <v>17</v>
      </c>
      <c r="B30">
        <v>1</v>
      </c>
      <c r="C30">
        <f>ROW(SmtRes!A28)</f>
        <v>28</v>
      </c>
      <c r="D30">
        <f>ROW(EtalonRes!A28)</f>
        <v>28</v>
      </c>
      <c r="E30" t="s">
        <v>61</v>
      </c>
      <c r="F30" t="s">
        <v>62</v>
      </c>
      <c r="G30" t="s">
        <v>63</v>
      </c>
      <c r="H30" t="s">
        <v>64</v>
      </c>
      <c r="I30">
        <f>ROUND(I29,9)</f>
        <v>2.3999999999999998E-3</v>
      </c>
      <c r="J30">
        <v>0</v>
      </c>
      <c r="O30">
        <f t="shared" si="14"/>
        <v>82.33</v>
      </c>
      <c r="P30">
        <f t="shared" si="15"/>
        <v>7.75</v>
      </c>
      <c r="Q30">
        <f>(ROUND((ROUND((((ET30*1.15))*AV30*I30),2)*BB30),2)+ROUND((ROUND(((AE30-((EU30*1.15)))*AV30*I30),2)*BS30),2))</f>
        <v>67.510000000000005</v>
      </c>
      <c r="R30">
        <f t="shared" si="16"/>
        <v>21.64</v>
      </c>
      <c r="S30">
        <f t="shared" si="17"/>
        <v>7.07</v>
      </c>
      <c r="T30">
        <f t="shared" si="18"/>
        <v>0</v>
      </c>
      <c r="U30">
        <f t="shared" si="19"/>
        <v>3.5254583999999992E-2</v>
      </c>
      <c r="V30">
        <f t="shared" si="20"/>
        <v>0</v>
      </c>
      <c r="W30">
        <f t="shared" si="21"/>
        <v>0</v>
      </c>
      <c r="X30">
        <f t="shared" si="22"/>
        <v>6.5</v>
      </c>
      <c r="Y30">
        <f t="shared" si="23"/>
        <v>3.54</v>
      </c>
      <c r="AA30">
        <v>23231056</v>
      </c>
      <c r="AB30">
        <f t="shared" si="24"/>
        <v>2811.6495</v>
      </c>
      <c r="AC30">
        <f t="shared" si="25"/>
        <v>707</v>
      </c>
      <c r="AD30">
        <f>ROUND(((((ET30*1.15))-((EU30*1.15)))+AE30),6)</f>
        <v>1972.3420000000001</v>
      </c>
      <c r="AE30">
        <f t="shared" si="47"/>
        <v>401.39600000000002</v>
      </c>
      <c r="AF30">
        <f t="shared" si="47"/>
        <v>132.3075</v>
      </c>
      <c r="AG30">
        <f t="shared" si="26"/>
        <v>0</v>
      </c>
      <c r="AH30">
        <f t="shared" si="48"/>
        <v>14.029999999999998</v>
      </c>
      <c r="AI30">
        <f t="shared" si="48"/>
        <v>0</v>
      </c>
      <c r="AJ30">
        <f t="shared" si="27"/>
        <v>0</v>
      </c>
      <c r="AK30">
        <v>2537.13</v>
      </c>
      <c r="AL30">
        <v>707</v>
      </c>
      <c r="AM30">
        <v>1715.08</v>
      </c>
      <c r="AN30">
        <v>349.04</v>
      </c>
      <c r="AO30">
        <v>115.05</v>
      </c>
      <c r="AP30">
        <v>0</v>
      </c>
      <c r="AQ30">
        <v>12.2</v>
      </c>
      <c r="AR30">
        <v>0</v>
      </c>
      <c r="AS30">
        <v>0</v>
      </c>
      <c r="AT30">
        <v>92</v>
      </c>
      <c r="AU30">
        <v>50</v>
      </c>
      <c r="AV30">
        <v>1.0469999999999999</v>
      </c>
      <c r="AW30">
        <v>1</v>
      </c>
      <c r="AZ30">
        <v>1</v>
      </c>
      <c r="BA30">
        <v>21.43</v>
      </c>
      <c r="BB30">
        <v>13.61</v>
      </c>
      <c r="BC30">
        <v>4.5599999999999996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65</v>
      </c>
      <c r="BM30">
        <v>10</v>
      </c>
      <c r="BN30">
        <v>0</v>
      </c>
      <c r="BO30" t="s">
        <v>62</v>
      </c>
      <c r="BP30">
        <v>1</v>
      </c>
      <c r="BQ30">
        <v>30</v>
      </c>
      <c r="BR30">
        <v>0</v>
      </c>
      <c r="BS30">
        <v>21.43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92</v>
      </c>
      <c r="CA30">
        <v>50</v>
      </c>
      <c r="CE30">
        <v>30</v>
      </c>
      <c r="CF30">
        <v>0</v>
      </c>
      <c r="CG30">
        <v>0</v>
      </c>
      <c r="CM30">
        <v>0</v>
      </c>
      <c r="CN30" t="s">
        <v>66</v>
      </c>
      <c r="CO30">
        <v>0</v>
      </c>
      <c r="CP30">
        <f t="shared" si="28"/>
        <v>82.330000000000013</v>
      </c>
      <c r="CQ30">
        <f t="shared" si="29"/>
        <v>3223.92</v>
      </c>
      <c r="CR30">
        <f>(ROUND((ROUND((((ET30*1.15))*AV30*1),2)*BB30),2)+ROUND((ROUND(((AE30-((EU30*1.15)))*AV30*1),2)*BS30),2))</f>
        <v>28105.19</v>
      </c>
      <c r="CS30">
        <f t="shared" si="30"/>
        <v>9006.17</v>
      </c>
      <c r="CT30">
        <f t="shared" si="31"/>
        <v>2968.7</v>
      </c>
      <c r="CU30">
        <f t="shared" si="32"/>
        <v>0</v>
      </c>
      <c r="CV30">
        <f t="shared" si="33"/>
        <v>14.689409999999997</v>
      </c>
      <c r="CW30">
        <f t="shared" si="34"/>
        <v>0</v>
      </c>
      <c r="CX30">
        <f t="shared" si="35"/>
        <v>0</v>
      </c>
      <c r="CY30">
        <f t="shared" si="36"/>
        <v>6.5044000000000004</v>
      </c>
      <c r="CZ30">
        <f t="shared" si="37"/>
        <v>3.5350000000000001</v>
      </c>
      <c r="DC30" t="s">
        <v>3</v>
      </c>
      <c r="DD30" t="s">
        <v>3</v>
      </c>
      <c r="DE30" t="s">
        <v>37</v>
      </c>
      <c r="DF30" t="s">
        <v>37</v>
      </c>
      <c r="DG30" t="s">
        <v>37</v>
      </c>
      <c r="DH30" t="s">
        <v>3</v>
      </c>
      <c r="DI30" t="s">
        <v>37</v>
      </c>
      <c r="DJ30" t="s">
        <v>37</v>
      </c>
      <c r="DK30" t="s">
        <v>3</v>
      </c>
      <c r="DL30" t="s">
        <v>3</v>
      </c>
      <c r="DM30" t="s">
        <v>3</v>
      </c>
      <c r="DN30">
        <v>98</v>
      </c>
      <c r="DO30">
        <v>77</v>
      </c>
      <c r="DP30">
        <v>1.0469999999999999</v>
      </c>
      <c r="DQ30">
        <v>1</v>
      </c>
      <c r="DU30">
        <v>1007</v>
      </c>
      <c r="DV30" t="s">
        <v>64</v>
      </c>
      <c r="DW30" t="s">
        <v>64</v>
      </c>
      <c r="DX30">
        <v>1000</v>
      </c>
      <c r="EE30">
        <v>22826851</v>
      </c>
      <c r="EF30">
        <v>30</v>
      </c>
      <c r="EG30" t="s">
        <v>38</v>
      </c>
      <c r="EH30">
        <v>0</v>
      </c>
      <c r="EI30" t="s">
        <v>3</v>
      </c>
      <c r="EJ30">
        <v>1</v>
      </c>
      <c r="EK30">
        <v>10</v>
      </c>
      <c r="EL30" t="s">
        <v>59</v>
      </c>
      <c r="EM30" t="s">
        <v>60</v>
      </c>
      <c r="EO30" t="s">
        <v>67</v>
      </c>
      <c r="EQ30">
        <v>0</v>
      </c>
      <c r="ER30">
        <v>2537.13</v>
      </c>
      <c r="ES30">
        <v>707</v>
      </c>
      <c r="ET30">
        <v>1715.08</v>
      </c>
      <c r="EU30">
        <v>349.04</v>
      </c>
      <c r="EV30">
        <v>115.05</v>
      </c>
      <c r="EW30">
        <v>12.2</v>
      </c>
      <c r="EX30">
        <v>0</v>
      </c>
      <c r="EY30">
        <v>0</v>
      </c>
      <c r="FQ30">
        <v>0</v>
      </c>
      <c r="FR30">
        <f t="shared" si="38"/>
        <v>0</v>
      </c>
      <c r="FS30">
        <v>0</v>
      </c>
      <c r="FX30">
        <v>98</v>
      </c>
      <c r="FY30">
        <v>77</v>
      </c>
      <c r="GA30" t="s">
        <v>3</v>
      </c>
      <c r="GD30">
        <v>0</v>
      </c>
      <c r="GF30">
        <v>1010658580</v>
      </c>
      <c r="GG30">
        <v>2</v>
      </c>
      <c r="GH30">
        <v>1</v>
      </c>
      <c r="GI30">
        <v>2</v>
      </c>
      <c r="GJ30">
        <v>0</v>
      </c>
      <c r="GK30">
        <f>ROUND(R30*(R12)/100,2)</f>
        <v>33.97</v>
      </c>
      <c r="GL30">
        <f t="shared" si="39"/>
        <v>0</v>
      </c>
      <c r="GM30">
        <f t="shared" si="40"/>
        <v>126.34</v>
      </c>
      <c r="GN30">
        <f t="shared" si="41"/>
        <v>126.34</v>
      </c>
      <c r="GO30">
        <f t="shared" si="42"/>
        <v>0</v>
      </c>
      <c r="GP30">
        <f t="shared" si="43"/>
        <v>0</v>
      </c>
      <c r="GR30">
        <v>0</v>
      </c>
      <c r="GS30">
        <v>3</v>
      </c>
      <c r="GT30">
        <v>0</v>
      </c>
      <c r="GU30" t="s">
        <v>3</v>
      </c>
      <c r="GV30">
        <f t="shared" si="44"/>
        <v>0</v>
      </c>
      <c r="GW30">
        <v>1</v>
      </c>
      <c r="GX30">
        <f t="shared" si="45"/>
        <v>0</v>
      </c>
      <c r="HA30">
        <v>0</v>
      </c>
      <c r="HB30">
        <v>0</v>
      </c>
      <c r="HC30">
        <f t="shared" si="46"/>
        <v>0</v>
      </c>
      <c r="IK30">
        <v>0</v>
      </c>
    </row>
    <row r="31" spans="1:245" x14ac:dyDescent="0.25">
      <c r="A31">
        <v>17</v>
      </c>
      <c r="B31">
        <v>1</v>
      </c>
      <c r="C31">
        <f>ROW(SmtRes!A39)</f>
        <v>39</v>
      </c>
      <c r="D31">
        <f>ROW(EtalonRes!A39)</f>
        <v>39</v>
      </c>
      <c r="E31" t="s">
        <v>68</v>
      </c>
      <c r="F31" t="s">
        <v>69</v>
      </c>
      <c r="G31" t="s">
        <v>70</v>
      </c>
      <c r="H31" t="s">
        <v>71</v>
      </c>
      <c r="I31">
        <f>ROUND(I24,9)</f>
        <v>1.1999999999999999E-3</v>
      </c>
      <c r="J31">
        <v>0</v>
      </c>
      <c r="O31">
        <f t="shared" si="14"/>
        <v>9.32</v>
      </c>
      <c r="P31">
        <f t="shared" si="15"/>
        <v>0.65</v>
      </c>
      <c r="Q31">
        <f>(ROUND((ROUND((((ET31*1.15))*AV31*I31),2)*BB31),2)+ROUND((ROUND(((AE31-((EU31*1.15)))*AV31*I31),2)*BS31),2))</f>
        <v>6.71</v>
      </c>
      <c r="R31">
        <f t="shared" si="16"/>
        <v>2.21</v>
      </c>
      <c r="S31">
        <f t="shared" si="17"/>
        <v>1.96</v>
      </c>
      <c r="T31">
        <f t="shared" si="18"/>
        <v>0</v>
      </c>
      <c r="U31">
        <f t="shared" si="19"/>
        <v>6.1984493999999992E-3</v>
      </c>
      <c r="V31">
        <f t="shared" si="20"/>
        <v>0</v>
      </c>
      <c r="W31">
        <f t="shared" si="21"/>
        <v>0</v>
      </c>
      <c r="X31">
        <f t="shared" si="22"/>
        <v>2.2000000000000002</v>
      </c>
      <c r="Y31">
        <f t="shared" si="23"/>
        <v>0.8</v>
      </c>
      <c r="AA31">
        <v>23231056</v>
      </c>
      <c r="AB31">
        <f t="shared" si="24"/>
        <v>691.06600000000003</v>
      </c>
      <c r="AC31">
        <f t="shared" si="25"/>
        <v>57.83</v>
      </c>
      <c r="AD31">
        <f>ROUND(((((ET31*1.15))-((EU31*1.15)))+AE31),6)</f>
        <v>573.2405</v>
      </c>
      <c r="AE31">
        <f t="shared" si="47"/>
        <v>71.426500000000004</v>
      </c>
      <c r="AF31">
        <f t="shared" si="47"/>
        <v>59.9955</v>
      </c>
      <c r="AG31">
        <f t="shared" si="26"/>
        <v>0</v>
      </c>
      <c r="AH31">
        <f t="shared" si="48"/>
        <v>4.9334999999999996</v>
      </c>
      <c r="AI31">
        <f t="shared" si="48"/>
        <v>0</v>
      </c>
      <c r="AJ31">
        <f t="shared" si="27"/>
        <v>0</v>
      </c>
      <c r="AK31">
        <v>608.47</v>
      </c>
      <c r="AL31">
        <v>57.83</v>
      </c>
      <c r="AM31">
        <v>498.47</v>
      </c>
      <c r="AN31">
        <v>62.11</v>
      </c>
      <c r="AO31">
        <v>52.17</v>
      </c>
      <c r="AP31">
        <v>0</v>
      </c>
      <c r="AQ31">
        <v>4.29</v>
      </c>
      <c r="AR31">
        <v>0</v>
      </c>
      <c r="AS31">
        <v>0</v>
      </c>
      <c r="AT31">
        <v>112</v>
      </c>
      <c r="AU31">
        <v>41</v>
      </c>
      <c r="AV31">
        <v>1.0469999999999999</v>
      </c>
      <c r="AW31">
        <v>1</v>
      </c>
      <c r="AZ31">
        <v>1</v>
      </c>
      <c r="BA31">
        <v>24.53</v>
      </c>
      <c r="BB31">
        <v>9.32</v>
      </c>
      <c r="BC31">
        <v>9.35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72</v>
      </c>
      <c r="BM31">
        <v>158</v>
      </c>
      <c r="BN31">
        <v>0</v>
      </c>
      <c r="BO31" t="s">
        <v>69</v>
      </c>
      <c r="BP31">
        <v>1</v>
      </c>
      <c r="BQ31">
        <v>30</v>
      </c>
      <c r="BR31">
        <v>0</v>
      </c>
      <c r="BS31">
        <v>24.53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112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36</v>
      </c>
      <c r="CO31">
        <v>0</v>
      </c>
      <c r="CP31">
        <f t="shared" si="28"/>
        <v>9.32</v>
      </c>
      <c r="CQ31">
        <f t="shared" si="29"/>
        <v>540.71</v>
      </c>
      <c r="CR31">
        <f>(ROUND((ROUND((((ET31*1.15))*AV31*1),2)*BB31),2)+ROUND((ROUND(((AE31-((EU31*1.15)))*AV31*1),2)*BS31),2))</f>
        <v>5593.68</v>
      </c>
      <c r="CS31">
        <f t="shared" si="30"/>
        <v>1834.35</v>
      </c>
      <c r="CT31">
        <f t="shared" si="31"/>
        <v>1540.97</v>
      </c>
      <c r="CU31">
        <f t="shared" si="32"/>
        <v>0</v>
      </c>
      <c r="CV31">
        <f t="shared" si="33"/>
        <v>5.1653744999999995</v>
      </c>
      <c r="CW31">
        <f t="shared" si="34"/>
        <v>0</v>
      </c>
      <c r="CX31">
        <f t="shared" si="35"/>
        <v>0</v>
      </c>
      <c r="CY31">
        <f t="shared" si="36"/>
        <v>2.1952000000000003</v>
      </c>
      <c r="CZ31">
        <f t="shared" si="37"/>
        <v>0.80359999999999998</v>
      </c>
      <c r="DC31" t="s">
        <v>3</v>
      </c>
      <c r="DD31" t="s">
        <v>3</v>
      </c>
      <c r="DE31" t="s">
        <v>37</v>
      </c>
      <c r="DF31" t="s">
        <v>37</v>
      </c>
      <c r="DG31" t="s">
        <v>37</v>
      </c>
      <c r="DH31" t="s">
        <v>3</v>
      </c>
      <c r="DI31" t="s">
        <v>37</v>
      </c>
      <c r="DJ31" t="s">
        <v>37</v>
      </c>
      <c r="DK31" t="s">
        <v>3</v>
      </c>
      <c r="DL31" t="s">
        <v>3</v>
      </c>
      <c r="DM31" t="s">
        <v>3</v>
      </c>
      <c r="DN31">
        <v>140</v>
      </c>
      <c r="DO31">
        <v>79</v>
      </c>
      <c r="DP31">
        <v>1.0469999999999999</v>
      </c>
      <c r="DQ31">
        <v>1</v>
      </c>
      <c r="DU31">
        <v>1005</v>
      </c>
      <c r="DV31" t="s">
        <v>71</v>
      </c>
      <c r="DW31" t="s">
        <v>71</v>
      </c>
      <c r="DX31">
        <v>100</v>
      </c>
      <c r="EE31">
        <v>22826999</v>
      </c>
      <c r="EF31">
        <v>30</v>
      </c>
      <c r="EG31" t="s">
        <v>38</v>
      </c>
      <c r="EH31">
        <v>0</v>
      </c>
      <c r="EI31" t="s">
        <v>3</v>
      </c>
      <c r="EJ31">
        <v>1</v>
      </c>
      <c r="EK31">
        <v>158</v>
      </c>
      <c r="EL31" t="s">
        <v>73</v>
      </c>
      <c r="EM31" t="s">
        <v>74</v>
      </c>
      <c r="EO31" t="s">
        <v>41</v>
      </c>
      <c r="EQ31">
        <v>0</v>
      </c>
      <c r="ER31">
        <v>608.47</v>
      </c>
      <c r="ES31">
        <v>57.83</v>
      </c>
      <c r="ET31">
        <v>498.47</v>
      </c>
      <c r="EU31">
        <v>62.11</v>
      </c>
      <c r="EV31">
        <v>52.17</v>
      </c>
      <c r="EW31">
        <v>4.29</v>
      </c>
      <c r="EX31">
        <v>0</v>
      </c>
      <c r="EY31">
        <v>0</v>
      </c>
      <c r="FQ31">
        <v>0</v>
      </c>
      <c r="FR31">
        <f t="shared" si="38"/>
        <v>0</v>
      </c>
      <c r="FS31">
        <v>0</v>
      </c>
      <c r="FX31">
        <v>140</v>
      </c>
      <c r="FY31">
        <v>79</v>
      </c>
      <c r="GA31" t="s">
        <v>3</v>
      </c>
      <c r="GD31">
        <v>0</v>
      </c>
      <c r="GF31">
        <v>1441253797</v>
      </c>
      <c r="GG31">
        <v>2</v>
      </c>
      <c r="GH31">
        <v>1</v>
      </c>
      <c r="GI31">
        <v>2</v>
      </c>
      <c r="GJ31">
        <v>0</v>
      </c>
      <c r="GK31">
        <f>ROUND(R31*(R12)/100,2)</f>
        <v>3.47</v>
      </c>
      <c r="GL31">
        <f t="shared" si="39"/>
        <v>0</v>
      </c>
      <c r="GM31">
        <f t="shared" si="40"/>
        <v>15.79</v>
      </c>
      <c r="GN31">
        <f t="shared" si="41"/>
        <v>15.79</v>
      </c>
      <c r="GO31">
        <f t="shared" si="42"/>
        <v>0</v>
      </c>
      <c r="GP31">
        <f t="shared" si="43"/>
        <v>0</v>
      </c>
      <c r="GR31">
        <v>0</v>
      </c>
      <c r="GS31">
        <v>3</v>
      </c>
      <c r="GT31">
        <v>0</v>
      </c>
      <c r="GU31" t="s">
        <v>3</v>
      </c>
      <c r="GV31">
        <f t="shared" si="44"/>
        <v>0</v>
      </c>
      <c r="GW31">
        <v>1</v>
      </c>
      <c r="GX31">
        <f t="shared" si="45"/>
        <v>0</v>
      </c>
      <c r="HA31">
        <v>0</v>
      </c>
      <c r="HB31">
        <v>0</v>
      </c>
      <c r="HC31">
        <f t="shared" si="46"/>
        <v>0</v>
      </c>
      <c r="IK31">
        <v>0</v>
      </c>
    </row>
    <row r="32" spans="1:245" x14ac:dyDescent="0.25">
      <c r="A32">
        <v>18</v>
      </c>
      <c r="B32">
        <v>1</v>
      </c>
      <c r="C32">
        <v>39</v>
      </c>
      <c r="E32" t="s">
        <v>75</v>
      </c>
      <c r="F32" t="s">
        <v>76</v>
      </c>
      <c r="G32" t="s">
        <v>77</v>
      </c>
      <c r="H32" t="s">
        <v>78</v>
      </c>
      <c r="I32">
        <f>I31*J32</f>
        <v>0.28799999999999998</v>
      </c>
      <c r="J32">
        <v>240</v>
      </c>
      <c r="O32">
        <f t="shared" si="14"/>
        <v>775.89</v>
      </c>
      <c r="P32">
        <f t="shared" si="15"/>
        <v>775.89</v>
      </c>
      <c r="Q32">
        <f>(ROUND((ROUND(((ET32)*AV32*I32),2)*BB32),2)+ROUND((ROUND(((AE32-(EU32))*AV32*I32),2)*BS32),2))</f>
        <v>0</v>
      </c>
      <c r="R32">
        <f t="shared" si="16"/>
        <v>0</v>
      </c>
      <c r="S32">
        <f t="shared" si="17"/>
        <v>0</v>
      </c>
      <c r="T32">
        <f t="shared" si="18"/>
        <v>0</v>
      </c>
      <c r="U32">
        <f t="shared" si="19"/>
        <v>0</v>
      </c>
      <c r="V32">
        <f t="shared" si="20"/>
        <v>0</v>
      </c>
      <c r="W32">
        <f t="shared" si="21"/>
        <v>0</v>
      </c>
      <c r="X32">
        <f t="shared" si="22"/>
        <v>0</v>
      </c>
      <c r="Y32">
        <f t="shared" si="23"/>
        <v>0</v>
      </c>
      <c r="AA32">
        <v>23231056</v>
      </c>
      <c r="AB32">
        <f t="shared" si="24"/>
        <v>296.7</v>
      </c>
      <c r="AC32">
        <f t="shared" si="25"/>
        <v>296.7</v>
      </c>
      <c r="AD32">
        <f>ROUND((((ET32)-(EU32))+AE32),6)</f>
        <v>0</v>
      </c>
      <c r="AE32">
        <f>ROUND((EU32),6)</f>
        <v>0</v>
      </c>
      <c r="AF32">
        <f>ROUND((EV32),6)</f>
        <v>0</v>
      </c>
      <c r="AG32">
        <f t="shared" si="26"/>
        <v>0</v>
      </c>
      <c r="AH32">
        <f>(EW32)</f>
        <v>0</v>
      </c>
      <c r="AI32">
        <f>(EX32)</f>
        <v>0</v>
      </c>
      <c r="AJ32">
        <f t="shared" si="27"/>
        <v>0</v>
      </c>
      <c r="AK32">
        <v>296.7</v>
      </c>
      <c r="AL32">
        <v>296.7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9.08</v>
      </c>
      <c r="BD32" t="s">
        <v>3</v>
      </c>
      <c r="BE32" t="s">
        <v>3</v>
      </c>
      <c r="BF32" t="s">
        <v>3</v>
      </c>
      <c r="BG32" t="s">
        <v>3</v>
      </c>
      <c r="BH32">
        <v>3</v>
      </c>
      <c r="BI32">
        <v>1</v>
      </c>
      <c r="BJ32" t="s">
        <v>79</v>
      </c>
      <c r="BM32">
        <v>158</v>
      </c>
      <c r="BN32">
        <v>0</v>
      </c>
      <c r="BO32" t="s">
        <v>76</v>
      </c>
      <c r="BP32">
        <v>1</v>
      </c>
      <c r="BQ32">
        <v>30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E32">
        <v>30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28"/>
        <v>775.89</v>
      </c>
      <c r="CQ32">
        <f t="shared" si="29"/>
        <v>2694.04</v>
      </c>
      <c r="CR32">
        <f>(ROUND((ROUND(((ET32)*AV32*1),2)*BB32),2)+ROUND((ROUND(((AE32-(EU32))*AV32*1),2)*BS32),2))</f>
        <v>0</v>
      </c>
      <c r="CS32">
        <f t="shared" si="30"/>
        <v>0</v>
      </c>
      <c r="CT32">
        <f t="shared" si="31"/>
        <v>0</v>
      </c>
      <c r="CU32">
        <f t="shared" si="32"/>
        <v>0</v>
      </c>
      <c r="CV32">
        <f t="shared" si="33"/>
        <v>0</v>
      </c>
      <c r="CW32">
        <f t="shared" si="34"/>
        <v>0</v>
      </c>
      <c r="CX32">
        <f t="shared" si="35"/>
        <v>0</v>
      </c>
      <c r="CY32">
        <f t="shared" si="36"/>
        <v>0</v>
      </c>
      <c r="CZ32">
        <f t="shared" si="37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140</v>
      </c>
      <c r="DO32">
        <v>79</v>
      </c>
      <c r="DP32">
        <v>1.0469999999999999</v>
      </c>
      <c r="DQ32">
        <v>1</v>
      </c>
      <c r="DU32">
        <v>1009</v>
      </c>
      <c r="DV32" t="s">
        <v>78</v>
      </c>
      <c r="DW32" t="s">
        <v>78</v>
      </c>
      <c r="DX32">
        <v>1000</v>
      </c>
      <c r="EE32">
        <v>22826999</v>
      </c>
      <c r="EF32">
        <v>30</v>
      </c>
      <c r="EG32" t="s">
        <v>38</v>
      </c>
      <c r="EH32">
        <v>0</v>
      </c>
      <c r="EI32" t="s">
        <v>3</v>
      </c>
      <c r="EJ32">
        <v>1</v>
      </c>
      <c r="EK32">
        <v>158</v>
      </c>
      <c r="EL32" t="s">
        <v>73</v>
      </c>
      <c r="EM32" t="s">
        <v>74</v>
      </c>
      <c r="EO32" t="s">
        <v>3</v>
      </c>
      <c r="EQ32">
        <v>0</v>
      </c>
      <c r="ER32">
        <v>296.7</v>
      </c>
      <c r="ES32">
        <v>296.7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38"/>
        <v>0</v>
      </c>
      <c r="FS32">
        <v>0</v>
      </c>
      <c r="FX32">
        <v>140</v>
      </c>
      <c r="FY32">
        <v>79</v>
      </c>
      <c r="GA32" t="s">
        <v>3</v>
      </c>
      <c r="GD32">
        <v>0</v>
      </c>
      <c r="GF32">
        <v>447298222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39"/>
        <v>0</v>
      </c>
      <c r="GM32">
        <f t="shared" si="40"/>
        <v>775.89</v>
      </c>
      <c r="GN32">
        <f t="shared" si="41"/>
        <v>775.89</v>
      </c>
      <c r="GO32">
        <f t="shared" si="42"/>
        <v>0</v>
      </c>
      <c r="GP32">
        <f t="shared" si="43"/>
        <v>0</v>
      </c>
      <c r="GR32">
        <v>0</v>
      </c>
      <c r="GS32">
        <v>3</v>
      </c>
      <c r="GT32">
        <v>0</v>
      </c>
      <c r="GU32" t="s">
        <v>3</v>
      </c>
      <c r="GV32">
        <f t="shared" si="44"/>
        <v>0</v>
      </c>
      <c r="GW32">
        <v>1</v>
      </c>
      <c r="GX32">
        <f t="shared" si="45"/>
        <v>0</v>
      </c>
      <c r="HA32">
        <v>0</v>
      </c>
      <c r="HB32">
        <v>0</v>
      </c>
      <c r="HC32">
        <f t="shared" si="46"/>
        <v>0</v>
      </c>
      <c r="IK32">
        <v>0</v>
      </c>
    </row>
    <row r="33" spans="1:245" x14ac:dyDescent="0.25">
      <c r="A33">
        <v>17</v>
      </c>
      <c r="B33">
        <v>1</v>
      </c>
      <c r="C33">
        <f>ROW(SmtRes!A40)</f>
        <v>40</v>
      </c>
      <c r="D33">
        <f>ROW(EtalonRes!A40)</f>
        <v>40</v>
      </c>
      <c r="E33" t="s">
        <v>80</v>
      </c>
      <c r="F33" t="s">
        <v>81</v>
      </c>
      <c r="G33" t="s">
        <v>82</v>
      </c>
      <c r="H33" t="s">
        <v>83</v>
      </c>
      <c r="I33">
        <f>ROUND(65*2/100,9)</f>
        <v>1.3</v>
      </c>
      <c r="J33">
        <v>0</v>
      </c>
      <c r="O33">
        <f t="shared" si="14"/>
        <v>30378.799999999999</v>
      </c>
      <c r="P33">
        <f t="shared" si="15"/>
        <v>0</v>
      </c>
      <c r="Q33">
        <f>(ROUND((ROUND((((ET33*1.2))*AV33*I33),2)*BB33),2)+ROUND((ROUND(((AE33-((EU33*1.2)))*AV33*I33),2)*BS33),2))</f>
        <v>0</v>
      </c>
      <c r="R33">
        <f t="shared" si="16"/>
        <v>0</v>
      </c>
      <c r="S33">
        <f t="shared" si="17"/>
        <v>30378.799999999999</v>
      </c>
      <c r="T33">
        <f t="shared" si="18"/>
        <v>0</v>
      </c>
      <c r="U33">
        <f t="shared" si="19"/>
        <v>125.27564400000001</v>
      </c>
      <c r="V33">
        <f t="shared" si="20"/>
        <v>0</v>
      </c>
      <c r="W33">
        <f t="shared" si="21"/>
        <v>0</v>
      </c>
      <c r="X33">
        <f t="shared" si="22"/>
        <v>20657.580000000002</v>
      </c>
      <c r="Y33">
        <f t="shared" si="23"/>
        <v>12455.31</v>
      </c>
      <c r="AA33">
        <v>23231056</v>
      </c>
      <c r="AB33">
        <f t="shared" si="24"/>
        <v>1029.0119999999999</v>
      </c>
      <c r="AC33">
        <f t="shared" si="25"/>
        <v>0</v>
      </c>
      <c r="AD33">
        <f>ROUND(((((ET33*1.2))-((EU33*1.2)))+AE33),6)</f>
        <v>0</v>
      </c>
      <c r="AE33">
        <f>ROUND(((EU33*1.2)),6)</f>
        <v>0</v>
      </c>
      <c r="AF33">
        <f>ROUND(((EV33*1.2)),6)</f>
        <v>1029.0119999999999</v>
      </c>
      <c r="AG33">
        <f t="shared" si="26"/>
        <v>0</v>
      </c>
      <c r="AH33">
        <f>((EW33*1.2))</f>
        <v>92.04</v>
      </c>
      <c r="AI33">
        <f>((EX33*1.2))</f>
        <v>0</v>
      </c>
      <c r="AJ33">
        <f t="shared" si="27"/>
        <v>0</v>
      </c>
      <c r="AK33">
        <v>857.51</v>
      </c>
      <c r="AL33">
        <v>0</v>
      </c>
      <c r="AM33">
        <v>0</v>
      </c>
      <c r="AN33">
        <v>0</v>
      </c>
      <c r="AO33">
        <v>857.51</v>
      </c>
      <c r="AP33">
        <v>0</v>
      </c>
      <c r="AQ33">
        <v>76.7</v>
      </c>
      <c r="AR33">
        <v>0</v>
      </c>
      <c r="AS33">
        <v>0</v>
      </c>
      <c r="AT33">
        <v>68</v>
      </c>
      <c r="AU33">
        <v>41</v>
      </c>
      <c r="AV33">
        <v>1.0469999999999999</v>
      </c>
      <c r="AW33">
        <v>1</v>
      </c>
      <c r="AZ33">
        <v>1</v>
      </c>
      <c r="BA33">
        <v>21.69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84</v>
      </c>
      <c r="BM33">
        <v>674</v>
      </c>
      <c r="BN33">
        <v>0</v>
      </c>
      <c r="BO33" t="s">
        <v>81</v>
      </c>
      <c r="BP33">
        <v>1</v>
      </c>
      <c r="BQ33">
        <v>60</v>
      </c>
      <c r="BR33">
        <v>0</v>
      </c>
      <c r="BS33">
        <v>21.69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68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272</v>
      </c>
      <c r="CO33">
        <v>0</v>
      </c>
      <c r="CP33">
        <f t="shared" si="28"/>
        <v>30378.799999999999</v>
      </c>
      <c r="CQ33">
        <f t="shared" si="29"/>
        <v>0</v>
      </c>
      <c r="CR33">
        <f>(ROUND((ROUND((((ET33*1.2))*AV33*1),2)*BB33),2)+ROUND((ROUND(((AE33-((EU33*1.2)))*AV33*1),2)*BS33),2))</f>
        <v>0</v>
      </c>
      <c r="CS33">
        <f t="shared" si="30"/>
        <v>0</v>
      </c>
      <c r="CT33">
        <f t="shared" si="31"/>
        <v>23368.37</v>
      </c>
      <c r="CU33">
        <f t="shared" si="32"/>
        <v>0</v>
      </c>
      <c r="CV33">
        <f t="shared" si="33"/>
        <v>96.365880000000004</v>
      </c>
      <c r="CW33">
        <f t="shared" si="34"/>
        <v>0</v>
      </c>
      <c r="CX33">
        <f t="shared" si="35"/>
        <v>0</v>
      </c>
      <c r="CY33">
        <f t="shared" si="36"/>
        <v>20657.584000000003</v>
      </c>
      <c r="CZ33">
        <f t="shared" si="37"/>
        <v>12455.307999999999</v>
      </c>
      <c r="DC33" t="s">
        <v>3</v>
      </c>
      <c r="DD33" t="s">
        <v>3</v>
      </c>
      <c r="DE33" t="s">
        <v>85</v>
      </c>
      <c r="DF33" t="s">
        <v>85</v>
      </c>
      <c r="DG33" t="s">
        <v>85</v>
      </c>
      <c r="DH33" t="s">
        <v>3</v>
      </c>
      <c r="DI33" t="s">
        <v>85</v>
      </c>
      <c r="DJ33" t="s">
        <v>85</v>
      </c>
      <c r="DK33" t="s">
        <v>3</v>
      </c>
      <c r="DL33" t="s">
        <v>3</v>
      </c>
      <c r="DM33" t="s">
        <v>3</v>
      </c>
      <c r="DN33">
        <v>80</v>
      </c>
      <c r="DO33">
        <v>55</v>
      </c>
      <c r="DP33">
        <v>1.0469999999999999</v>
      </c>
      <c r="DQ33">
        <v>1</v>
      </c>
      <c r="DU33">
        <v>1003</v>
      </c>
      <c r="DV33" t="s">
        <v>83</v>
      </c>
      <c r="DW33" t="s">
        <v>83</v>
      </c>
      <c r="DX33">
        <v>100</v>
      </c>
      <c r="EE33">
        <v>22827515</v>
      </c>
      <c r="EF33">
        <v>60</v>
      </c>
      <c r="EG33" t="s">
        <v>28</v>
      </c>
      <c r="EH33">
        <v>0</v>
      </c>
      <c r="EI33" t="s">
        <v>3</v>
      </c>
      <c r="EJ33">
        <v>1</v>
      </c>
      <c r="EK33">
        <v>674</v>
      </c>
      <c r="EL33" t="s">
        <v>29</v>
      </c>
      <c r="EM33" t="s">
        <v>30</v>
      </c>
      <c r="EO33" t="s">
        <v>86</v>
      </c>
      <c r="EQ33">
        <v>0</v>
      </c>
      <c r="ER33">
        <v>857.51</v>
      </c>
      <c r="ES33">
        <v>0</v>
      </c>
      <c r="ET33">
        <v>0</v>
      </c>
      <c r="EU33">
        <v>0</v>
      </c>
      <c r="EV33">
        <v>857.51</v>
      </c>
      <c r="EW33">
        <v>76.7</v>
      </c>
      <c r="EX33">
        <v>0</v>
      </c>
      <c r="EY33">
        <v>0</v>
      </c>
      <c r="FQ33">
        <v>0</v>
      </c>
      <c r="FR33">
        <f t="shared" si="38"/>
        <v>0</v>
      </c>
      <c r="FS33">
        <v>0</v>
      </c>
      <c r="FX33">
        <v>80</v>
      </c>
      <c r="FY33">
        <v>55</v>
      </c>
      <c r="GA33" t="s">
        <v>3</v>
      </c>
      <c r="GD33">
        <v>0</v>
      </c>
      <c r="GF33">
        <v>-1598299652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39"/>
        <v>0</v>
      </c>
      <c r="GM33">
        <f t="shared" si="40"/>
        <v>63491.69</v>
      </c>
      <c r="GN33">
        <f t="shared" si="41"/>
        <v>63491.69</v>
      </c>
      <c r="GO33">
        <f t="shared" si="42"/>
        <v>0</v>
      </c>
      <c r="GP33">
        <f t="shared" si="43"/>
        <v>0</v>
      </c>
      <c r="GR33">
        <v>0</v>
      </c>
      <c r="GS33">
        <v>3</v>
      </c>
      <c r="GT33">
        <v>0</v>
      </c>
      <c r="GU33" t="s">
        <v>3</v>
      </c>
      <c r="GV33">
        <f t="shared" si="44"/>
        <v>0</v>
      </c>
      <c r="GW33">
        <v>1</v>
      </c>
      <c r="GX33">
        <f t="shared" si="45"/>
        <v>0</v>
      </c>
      <c r="HA33">
        <v>0</v>
      </c>
      <c r="HB33">
        <v>0</v>
      </c>
      <c r="HC33">
        <f t="shared" si="46"/>
        <v>0</v>
      </c>
      <c r="IK33">
        <v>0</v>
      </c>
    </row>
    <row r="34" spans="1:245" x14ac:dyDescent="0.25">
      <c r="A34">
        <v>17</v>
      </c>
      <c r="B34">
        <v>1</v>
      </c>
      <c r="C34">
        <f>ROW(SmtRes!A49)</f>
        <v>49</v>
      </c>
      <c r="D34">
        <f>ROW(EtalonRes!A49)</f>
        <v>49</v>
      </c>
      <c r="E34" t="s">
        <v>87</v>
      </c>
      <c r="F34" t="s">
        <v>88</v>
      </c>
      <c r="G34" t="s">
        <v>89</v>
      </c>
      <c r="H34" t="s">
        <v>83</v>
      </c>
      <c r="I34">
        <f>ROUND(10/100,9)</f>
        <v>0.1</v>
      </c>
      <c r="J34">
        <v>0</v>
      </c>
      <c r="O34">
        <f t="shared" si="14"/>
        <v>3841.95</v>
      </c>
      <c r="P34">
        <f t="shared" si="15"/>
        <v>1964.1</v>
      </c>
      <c r="Q34">
        <f>(ROUND((ROUND((((ET34*1.15))*AV34*I34),2)*BB34),2)+ROUND((ROUND(((AE34-((EU34*1.15)))*AV34*I34),2)*BS34),2))</f>
        <v>44.39</v>
      </c>
      <c r="R34">
        <f t="shared" si="16"/>
        <v>27.11</v>
      </c>
      <c r="S34">
        <f t="shared" si="17"/>
        <v>1833.46</v>
      </c>
      <c r="T34">
        <f t="shared" si="18"/>
        <v>0</v>
      </c>
      <c r="U34">
        <f t="shared" si="19"/>
        <v>7.6384931999999983</v>
      </c>
      <c r="V34">
        <f t="shared" si="20"/>
        <v>0</v>
      </c>
      <c r="W34">
        <f t="shared" si="21"/>
        <v>0</v>
      </c>
      <c r="X34">
        <f t="shared" si="22"/>
        <v>2401.83</v>
      </c>
      <c r="Y34">
        <f t="shared" si="23"/>
        <v>990.07</v>
      </c>
      <c r="AA34">
        <v>23231056</v>
      </c>
      <c r="AB34">
        <f t="shared" si="24"/>
        <v>4564.0784999999996</v>
      </c>
      <c r="AC34">
        <f t="shared" si="25"/>
        <v>3709.87</v>
      </c>
      <c r="AD34">
        <f>ROUND(((((ET34*1.15))-((EU34*1.15)))+AE34),6)</f>
        <v>46.896999999999998</v>
      </c>
      <c r="AE34">
        <f>ROUND(((EU34*1.15)),6)</f>
        <v>11.936999999999999</v>
      </c>
      <c r="AF34">
        <f>ROUND(((EV34*1.15)),6)</f>
        <v>807.31150000000002</v>
      </c>
      <c r="AG34">
        <f t="shared" si="26"/>
        <v>0</v>
      </c>
      <c r="AH34">
        <f>((EW34*1.15))</f>
        <v>72.955999999999989</v>
      </c>
      <c r="AI34">
        <f>((EX34*1.15))</f>
        <v>0</v>
      </c>
      <c r="AJ34">
        <f t="shared" si="27"/>
        <v>0</v>
      </c>
      <c r="AK34">
        <v>4452.66</v>
      </c>
      <c r="AL34">
        <v>3709.87</v>
      </c>
      <c r="AM34">
        <v>40.78</v>
      </c>
      <c r="AN34">
        <v>10.38</v>
      </c>
      <c r="AO34">
        <v>702.01</v>
      </c>
      <c r="AP34">
        <v>0</v>
      </c>
      <c r="AQ34">
        <v>63.44</v>
      </c>
      <c r="AR34">
        <v>0</v>
      </c>
      <c r="AS34">
        <v>0</v>
      </c>
      <c r="AT34">
        <v>131</v>
      </c>
      <c r="AU34">
        <v>54</v>
      </c>
      <c r="AV34">
        <v>1.0469999999999999</v>
      </c>
      <c r="AW34">
        <v>1.03</v>
      </c>
      <c r="AZ34">
        <v>1</v>
      </c>
      <c r="BA34">
        <v>21.69</v>
      </c>
      <c r="BB34">
        <v>9.0399999999999991</v>
      </c>
      <c r="BC34">
        <v>5.14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90</v>
      </c>
      <c r="BM34">
        <v>1693</v>
      </c>
      <c r="BN34">
        <v>0</v>
      </c>
      <c r="BO34" t="s">
        <v>88</v>
      </c>
      <c r="BP34">
        <v>1</v>
      </c>
      <c r="BQ34">
        <v>30</v>
      </c>
      <c r="BR34">
        <v>0</v>
      </c>
      <c r="BS34">
        <v>21.69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131</v>
      </c>
      <c r="CA34">
        <v>54</v>
      </c>
      <c r="CE34">
        <v>30</v>
      </c>
      <c r="CF34">
        <v>0</v>
      </c>
      <c r="CG34">
        <v>0</v>
      </c>
      <c r="CM34">
        <v>0</v>
      </c>
      <c r="CN34" t="s">
        <v>36</v>
      </c>
      <c r="CO34">
        <v>0</v>
      </c>
      <c r="CP34">
        <f t="shared" si="28"/>
        <v>3841.95</v>
      </c>
      <c r="CQ34">
        <f t="shared" si="29"/>
        <v>19640.810000000001</v>
      </c>
      <c r="CR34">
        <f>(ROUND((ROUND((((ET34*1.15))*AV34*1),2)*BB34),2)+ROUND((ROUND(((AE34-((EU34*1.15)))*AV34*1),2)*BS34),2))</f>
        <v>443.86</v>
      </c>
      <c r="CS34">
        <f t="shared" si="30"/>
        <v>271.13</v>
      </c>
      <c r="CT34">
        <f t="shared" si="31"/>
        <v>18333.689999999999</v>
      </c>
      <c r="CU34">
        <f t="shared" si="32"/>
        <v>0</v>
      </c>
      <c r="CV34">
        <f t="shared" si="33"/>
        <v>76.384931999999978</v>
      </c>
      <c r="CW34">
        <f t="shared" si="34"/>
        <v>0</v>
      </c>
      <c r="CX34">
        <f t="shared" si="35"/>
        <v>0</v>
      </c>
      <c r="CY34">
        <f t="shared" si="36"/>
        <v>2401.8326000000002</v>
      </c>
      <c r="CZ34">
        <f t="shared" si="37"/>
        <v>990.06840000000011</v>
      </c>
      <c r="DC34" t="s">
        <v>3</v>
      </c>
      <c r="DD34" t="s">
        <v>3</v>
      </c>
      <c r="DE34" t="s">
        <v>37</v>
      </c>
      <c r="DF34" t="s">
        <v>37</v>
      </c>
      <c r="DG34" t="s">
        <v>37</v>
      </c>
      <c r="DH34" t="s">
        <v>3</v>
      </c>
      <c r="DI34" t="s">
        <v>37</v>
      </c>
      <c r="DJ34" t="s">
        <v>37</v>
      </c>
      <c r="DK34" t="s">
        <v>3</v>
      </c>
      <c r="DL34" t="s">
        <v>3</v>
      </c>
      <c r="DM34" t="s">
        <v>3</v>
      </c>
      <c r="DN34">
        <v>161</v>
      </c>
      <c r="DO34">
        <v>107</v>
      </c>
      <c r="DP34">
        <v>1.0469999999999999</v>
      </c>
      <c r="DQ34">
        <v>1.03</v>
      </c>
      <c r="DU34">
        <v>1003</v>
      </c>
      <c r="DV34" t="s">
        <v>83</v>
      </c>
      <c r="DW34" t="s">
        <v>83</v>
      </c>
      <c r="DX34">
        <v>100</v>
      </c>
      <c r="EE34">
        <v>22828534</v>
      </c>
      <c r="EF34">
        <v>30</v>
      </c>
      <c r="EG34" t="s">
        <v>38</v>
      </c>
      <c r="EH34">
        <v>0</v>
      </c>
      <c r="EI34" t="s">
        <v>3</v>
      </c>
      <c r="EJ34">
        <v>1</v>
      </c>
      <c r="EK34">
        <v>1693</v>
      </c>
      <c r="EL34" t="s">
        <v>91</v>
      </c>
      <c r="EM34" t="s">
        <v>92</v>
      </c>
      <c r="EO34" t="s">
        <v>41</v>
      </c>
      <c r="EQ34">
        <v>0</v>
      </c>
      <c r="ER34">
        <v>4452.66</v>
      </c>
      <c r="ES34">
        <v>3709.87</v>
      </c>
      <c r="ET34">
        <v>40.78</v>
      </c>
      <c r="EU34">
        <v>10.38</v>
      </c>
      <c r="EV34">
        <v>702.01</v>
      </c>
      <c r="EW34">
        <v>63.44</v>
      </c>
      <c r="EX34">
        <v>0</v>
      </c>
      <c r="EY34">
        <v>0</v>
      </c>
      <c r="FQ34">
        <v>0</v>
      </c>
      <c r="FR34">
        <f t="shared" si="38"/>
        <v>0</v>
      </c>
      <c r="FS34">
        <v>0</v>
      </c>
      <c r="FX34">
        <v>161</v>
      </c>
      <c r="FY34">
        <v>107</v>
      </c>
      <c r="GA34" t="s">
        <v>3</v>
      </c>
      <c r="GD34">
        <v>0</v>
      </c>
      <c r="GF34">
        <v>-399489879</v>
      </c>
      <c r="GG34">
        <v>2</v>
      </c>
      <c r="GH34">
        <v>1</v>
      </c>
      <c r="GI34">
        <v>2</v>
      </c>
      <c r="GJ34">
        <v>0</v>
      </c>
      <c r="GK34">
        <f>ROUND(R34*(R12)/100,2)</f>
        <v>42.56</v>
      </c>
      <c r="GL34">
        <f t="shared" si="39"/>
        <v>0</v>
      </c>
      <c r="GM34">
        <f t="shared" si="40"/>
        <v>7276.41</v>
      </c>
      <c r="GN34">
        <f t="shared" si="41"/>
        <v>7276.41</v>
      </c>
      <c r="GO34">
        <f t="shared" si="42"/>
        <v>0</v>
      </c>
      <c r="GP34">
        <f t="shared" si="43"/>
        <v>0</v>
      </c>
      <c r="GR34">
        <v>0</v>
      </c>
      <c r="GS34">
        <v>3</v>
      </c>
      <c r="GT34">
        <v>0</v>
      </c>
      <c r="GU34" t="s">
        <v>3</v>
      </c>
      <c r="GV34">
        <f t="shared" si="44"/>
        <v>0</v>
      </c>
      <c r="GW34">
        <v>1</v>
      </c>
      <c r="GX34">
        <f t="shared" si="45"/>
        <v>0</v>
      </c>
      <c r="HA34">
        <v>0</v>
      </c>
      <c r="HB34">
        <v>0</v>
      </c>
      <c r="HC34">
        <f t="shared" si="46"/>
        <v>0</v>
      </c>
      <c r="IK34">
        <v>0</v>
      </c>
    </row>
    <row r="35" spans="1:245" x14ac:dyDescent="0.25">
      <c r="A35">
        <v>18</v>
      </c>
      <c r="B35">
        <v>1</v>
      </c>
      <c r="C35">
        <v>49</v>
      </c>
      <c r="E35" t="s">
        <v>93</v>
      </c>
      <c r="F35" t="s">
        <v>94</v>
      </c>
      <c r="G35" t="s">
        <v>95</v>
      </c>
      <c r="H35" t="s">
        <v>45</v>
      </c>
      <c r="I35">
        <f>I34*J35</f>
        <v>0.32</v>
      </c>
      <c r="J35">
        <v>3.1999999999999997</v>
      </c>
      <c r="O35">
        <f t="shared" si="14"/>
        <v>4371.87</v>
      </c>
      <c r="P35">
        <f t="shared" si="15"/>
        <v>4371.87</v>
      </c>
      <c r="Q35">
        <f>(ROUND((ROUND(((ET35)*AV35*I35),2)*BB35),2)+ROUND((ROUND(((AE35-(EU35))*AV35*I35),2)*BS35),2))</f>
        <v>0</v>
      </c>
      <c r="R35">
        <f t="shared" si="16"/>
        <v>0</v>
      </c>
      <c r="S35">
        <f t="shared" si="17"/>
        <v>0</v>
      </c>
      <c r="T35">
        <f t="shared" si="18"/>
        <v>0</v>
      </c>
      <c r="U35">
        <f t="shared" si="19"/>
        <v>0</v>
      </c>
      <c r="V35">
        <f t="shared" si="20"/>
        <v>0</v>
      </c>
      <c r="W35">
        <f t="shared" si="21"/>
        <v>0</v>
      </c>
      <c r="X35">
        <f t="shared" si="22"/>
        <v>0</v>
      </c>
      <c r="Y35">
        <f t="shared" si="23"/>
        <v>0</v>
      </c>
      <c r="AA35">
        <v>23231056</v>
      </c>
      <c r="AB35">
        <f t="shared" si="24"/>
        <v>4406.71</v>
      </c>
      <c r="AC35">
        <f t="shared" si="25"/>
        <v>4406.71</v>
      </c>
      <c r="AD35">
        <f>ROUND((((ET35)-(EU35))+AE35),6)</f>
        <v>0</v>
      </c>
      <c r="AE35">
        <f>ROUND((EU35),6)</f>
        <v>0</v>
      </c>
      <c r="AF35">
        <f>ROUND((EV35),6)</f>
        <v>0</v>
      </c>
      <c r="AG35">
        <f t="shared" si="26"/>
        <v>0</v>
      </c>
      <c r="AH35">
        <f>(EW35)</f>
        <v>0</v>
      </c>
      <c r="AI35">
        <f>(EX35)</f>
        <v>0</v>
      </c>
      <c r="AJ35">
        <f t="shared" si="27"/>
        <v>0</v>
      </c>
      <c r="AK35">
        <v>4406.71</v>
      </c>
      <c r="AL35">
        <v>4406.71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1.03</v>
      </c>
      <c r="AZ35">
        <v>1</v>
      </c>
      <c r="BA35">
        <v>1</v>
      </c>
      <c r="BB35">
        <v>1</v>
      </c>
      <c r="BC35">
        <v>3.01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96</v>
      </c>
      <c r="BM35">
        <v>1693</v>
      </c>
      <c r="BN35">
        <v>0</v>
      </c>
      <c r="BO35" t="s">
        <v>94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8"/>
        <v>4371.87</v>
      </c>
      <c r="CQ35">
        <f t="shared" si="29"/>
        <v>13662.12</v>
      </c>
      <c r="CR35">
        <f>(ROUND((ROUND(((ET35)*AV35*1),2)*BB35),2)+ROUND((ROUND(((AE35-(EU35))*AV35*1),2)*BS35),2))</f>
        <v>0</v>
      </c>
      <c r="CS35">
        <f t="shared" si="30"/>
        <v>0</v>
      </c>
      <c r="CT35">
        <f t="shared" si="31"/>
        <v>0</v>
      </c>
      <c r="CU35">
        <f t="shared" si="32"/>
        <v>0</v>
      </c>
      <c r="CV35">
        <f t="shared" si="33"/>
        <v>0</v>
      </c>
      <c r="CW35">
        <f t="shared" si="34"/>
        <v>0</v>
      </c>
      <c r="CX35">
        <f t="shared" si="35"/>
        <v>0</v>
      </c>
      <c r="CY35">
        <f t="shared" si="36"/>
        <v>0</v>
      </c>
      <c r="CZ35">
        <f t="shared" si="37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161</v>
      </c>
      <c r="DO35">
        <v>107</v>
      </c>
      <c r="DP35">
        <v>1.0469999999999999</v>
      </c>
      <c r="DQ35">
        <v>1.03</v>
      </c>
      <c r="DU35">
        <v>1007</v>
      </c>
      <c r="DV35" t="s">
        <v>45</v>
      </c>
      <c r="DW35" t="s">
        <v>45</v>
      </c>
      <c r="DX35">
        <v>1</v>
      </c>
      <c r="EE35">
        <v>22828534</v>
      </c>
      <c r="EF35">
        <v>30</v>
      </c>
      <c r="EG35" t="s">
        <v>38</v>
      </c>
      <c r="EH35">
        <v>0</v>
      </c>
      <c r="EI35" t="s">
        <v>3</v>
      </c>
      <c r="EJ35">
        <v>1</v>
      </c>
      <c r="EK35">
        <v>1693</v>
      </c>
      <c r="EL35" t="s">
        <v>91</v>
      </c>
      <c r="EM35" t="s">
        <v>92</v>
      </c>
      <c r="EO35" t="s">
        <v>3</v>
      </c>
      <c r="EQ35">
        <v>0</v>
      </c>
      <c r="ER35">
        <v>4406.71</v>
      </c>
      <c r="ES35">
        <v>4406.71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8"/>
        <v>0</v>
      </c>
      <c r="FS35">
        <v>0</v>
      </c>
      <c r="FX35">
        <v>161</v>
      </c>
      <c r="FY35">
        <v>107</v>
      </c>
      <c r="GA35" t="s">
        <v>3</v>
      </c>
      <c r="GD35">
        <v>0</v>
      </c>
      <c r="GF35">
        <v>-551783718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39"/>
        <v>0</v>
      </c>
      <c r="GM35">
        <f t="shared" si="40"/>
        <v>4371.87</v>
      </c>
      <c r="GN35">
        <f t="shared" si="41"/>
        <v>4371.87</v>
      </c>
      <c r="GO35">
        <f t="shared" si="42"/>
        <v>0</v>
      </c>
      <c r="GP35">
        <f t="shared" si="43"/>
        <v>0</v>
      </c>
      <c r="GR35">
        <v>0</v>
      </c>
      <c r="GS35">
        <v>3</v>
      </c>
      <c r="GT35">
        <v>0</v>
      </c>
      <c r="GU35" t="s">
        <v>3</v>
      </c>
      <c r="GV35">
        <f t="shared" si="44"/>
        <v>0</v>
      </c>
      <c r="GW35">
        <v>1</v>
      </c>
      <c r="GX35">
        <f t="shared" si="45"/>
        <v>0</v>
      </c>
      <c r="HA35">
        <v>0</v>
      </c>
      <c r="HB35">
        <v>0</v>
      </c>
      <c r="HC35">
        <f t="shared" si="46"/>
        <v>0</v>
      </c>
      <c r="IK35">
        <v>0</v>
      </c>
    </row>
    <row r="36" spans="1:245" x14ac:dyDescent="0.25">
      <c r="A36">
        <v>17</v>
      </c>
      <c r="B36">
        <v>1</v>
      </c>
      <c r="C36">
        <f>ROW(SmtRes!A51)</f>
        <v>51</v>
      </c>
      <c r="D36">
        <f>ROW(EtalonRes!A51)</f>
        <v>51</v>
      </c>
      <c r="E36" t="s">
        <v>97</v>
      </c>
      <c r="F36" t="s">
        <v>98</v>
      </c>
      <c r="G36" t="s">
        <v>99</v>
      </c>
      <c r="H36" t="s">
        <v>71</v>
      </c>
      <c r="I36">
        <f>ROUND((65*1)/100,9)</f>
        <v>0.65</v>
      </c>
      <c r="J36">
        <v>0</v>
      </c>
      <c r="O36">
        <f t="shared" si="14"/>
        <v>7635.21</v>
      </c>
      <c r="P36">
        <f t="shared" si="15"/>
        <v>0</v>
      </c>
      <c r="Q36">
        <f>(ROUND((ROUND((((ET36*1.15))*AV36*I36),2)*BB36),2)+ROUND((ROUND(((AE36-((EU36*1.15)))*AV36*I36),2)*BS36),2))</f>
        <v>0</v>
      </c>
      <c r="R36">
        <f t="shared" si="16"/>
        <v>0</v>
      </c>
      <c r="S36">
        <f t="shared" si="17"/>
        <v>7635.21</v>
      </c>
      <c r="T36">
        <f t="shared" si="18"/>
        <v>0</v>
      </c>
      <c r="U36">
        <f t="shared" si="19"/>
        <v>29.900000000000002</v>
      </c>
      <c r="V36">
        <f t="shared" si="20"/>
        <v>0</v>
      </c>
      <c r="W36">
        <f t="shared" si="21"/>
        <v>0</v>
      </c>
      <c r="X36">
        <f t="shared" si="22"/>
        <v>6871.69</v>
      </c>
      <c r="Y36">
        <f t="shared" si="23"/>
        <v>3130.44</v>
      </c>
      <c r="AA36">
        <v>23231056</v>
      </c>
      <c r="AB36">
        <f t="shared" si="24"/>
        <v>478.86</v>
      </c>
      <c r="AC36">
        <f t="shared" si="25"/>
        <v>0</v>
      </c>
      <c r="AD36">
        <f>ROUND(((((ET36*1.15))-((EU36*1.15)))+AE36),6)</f>
        <v>0</v>
      </c>
      <c r="AE36">
        <f>ROUND(((EU36*1.15)),6)</f>
        <v>0</v>
      </c>
      <c r="AF36">
        <f>ROUND(((EV36*1.15)),6)</f>
        <v>478.86</v>
      </c>
      <c r="AG36">
        <f t="shared" si="26"/>
        <v>0</v>
      </c>
      <c r="AH36">
        <f>((EW36*1.15))</f>
        <v>46</v>
      </c>
      <c r="AI36">
        <f>((EX36*1.15))</f>
        <v>0</v>
      </c>
      <c r="AJ36">
        <f t="shared" si="27"/>
        <v>0</v>
      </c>
      <c r="AK36">
        <v>416.4</v>
      </c>
      <c r="AL36">
        <v>0</v>
      </c>
      <c r="AM36">
        <v>0</v>
      </c>
      <c r="AN36">
        <v>0</v>
      </c>
      <c r="AO36">
        <v>416.4</v>
      </c>
      <c r="AP36">
        <v>0</v>
      </c>
      <c r="AQ36">
        <v>40</v>
      </c>
      <c r="AR36">
        <v>0</v>
      </c>
      <c r="AS36">
        <v>0</v>
      </c>
      <c r="AT36">
        <v>90</v>
      </c>
      <c r="AU36">
        <v>41</v>
      </c>
      <c r="AV36">
        <v>1</v>
      </c>
      <c r="AW36">
        <v>1</v>
      </c>
      <c r="AZ36">
        <v>1</v>
      </c>
      <c r="BA36">
        <v>24.53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100</v>
      </c>
      <c r="BM36">
        <v>295</v>
      </c>
      <c r="BN36">
        <v>0</v>
      </c>
      <c r="BO36" t="s">
        <v>98</v>
      </c>
      <c r="BP36">
        <v>1</v>
      </c>
      <c r="BQ36">
        <v>30</v>
      </c>
      <c r="BR36">
        <v>0</v>
      </c>
      <c r="BS36">
        <v>24.53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90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36</v>
      </c>
      <c r="CO36">
        <v>0</v>
      </c>
      <c r="CP36">
        <f t="shared" si="28"/>
        <v>7635.21</v>
      </c>
      <c r="CQ36">
        <f t="shared" si="29"/>
        <v>0</v>
      </c>
      <c r="CR36">
        <f>(ROUND((ROUND((((ET36*1.15))*AV36*1),2)*BB36),2)+ROUND((ROUND(((AE36-((EU36*1.15)))*AV36*1),2)*BS36),2))</f>
        <v>0</v>
      </c>
      <c r="CS36">
        <f t="shared" si="30"/>
        <v>0</v>
      </c>
      <c r="CT36">
        <f t="shared" si="31"/>
        <v>11746.44</v>
      </c>
      <c r="CU36">
        <f t="shared" si="32"/>
        <v>0</v>
      </c>
      <c r="CV36">
        <f t="shared" si="33"/>
        <v>46</v>
      </c>
      <c r="CW36">
        <f t="shared" si="34"/>
        <v>0</v>
      </c>
      <c r="CX36">
        <f t="shared" si="35"/>
        <v>0</v>
      </c>
      <c r="CY36">
        <f t="shared" si="36"/>
        <v>6871.6890000000003</v>
      </c>
      <c r="CZ36">
        <f t="shared" si="37"/>
        <v>3130.4360999999999</v>
      </c>
      <c r="DC36" t="s">
        <v>3</v>
      </c>
      <c r="DD36" t="s">
        <v>3</v>
      </c>
      <c r="DE36" t="s">
        <v>37</v>
      </c>
      <c r="DF36" t="s">
        <v>37</v>
      </c>
      <c r="DG36" t="s">
        <v>37</v>
      </c>
      <c r="DH36" t="s">
        <v>3</v>
      </c>
      <c r="DI36" t="s">
        <v>37</v>
      </c>
      <c r="DJ36" t="s">
        <v>37</v>
      </c>
      <c r="DK36" t="s">
        <v>3</v>
      </c>
      <c r="DL36" t="s">
        <v>3</v>
      </c>
      <c r="DM36" t="s">
        <v>3</v>
      </c>
      <c r="DN36">
        <v>156</v>
      </c>
      <c r="DO36">
        <v>84</v>
      </c>
      <c r="DP36">
        <v>1</v>
      </c>
      <c r="DQ36">
        <v>1</v>
      </c>
      <c r="DU36">
        <v>1005</v>
      </c>
      <c r="DV36" t="s">
        <v>71</v>
      </c>
      <c r="DW36" t="s">
        <v>71</v>
      </c>
      <c r="DX36">
        <v>100</v>
      </c>
      <c r="EE36">
        <v>22827136</v>
      </c>
      <c r="EF36">
        <v>30</v>
      </c>
      <c r="EG36" t="s">
        <v>38</v>
      </c>
      <c r="EH36">
        <v>0</v>
      </c>
      <c r="EI36" t="s">
        <v>3</v>
      </c>
      <c r="EJ36">
        <v>1</v>
      </c>
      <c r="EK36">
        <v>295</v>
      </c>
      <c r="EL36" t="s">
        <v>101</v>
      </c>
      <c r="EM36" t="s">
        <v>102</v>
      </c>
      <c r="EO36" t="s">
        <v>41</v>
      </c>
      <c r="EQ36">
        <v>0</v>
      </c>
      <c r="ER36">
        <v>416.4</v>
      </c>
      <c r="ES36">
        <v>0</v>
      </c>
      <c r="ET36">
        <v>0</v>
      </c>
      <c r="EU36">
        <v>0</v>
      </c>
      <c r="EV36">
        <v>416.4</v>
      </c>
      <c r="EW36">
        <v>40</v>
      </c>
      <c r="EX36">
        <v>0</v>
      </c>
      <c r="EY36">
        <v>0</v>
      </c>
      <c r="FQ36">
        <v>0</v>
      </c>
      <c r="FR36">
        <f t="shared" si="38"/>
        <v>0</v>
      </c>
      <c r="FS36">
        <v>0</v>
      </c>
      <c r="FX36">
        <v>156</v>
      </c>
      <c r="FY36">
        <v>84</v>
      </c>
      <c r="GA36" t="s">
        <v>3</v>
      </c>
      <c r="GD36">
        <v>0</v>
      </c>
      <c r="GF36">
        <v>1328500929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39"/>
        <v>0</v>
      </c>
      <c r="GM36">
        <f t="shared" si="40"/>
        <v>17637.34</v>
      </c>
      <c r="GN36">
        <f t="shared" si="41"/>
        <v>17637.34</v>
      </c>
      <c r="GO36">
        <f t="shared" si="42"/>
        <v>0</v>
      </c>
      <c r="GP36">
        <f t="shared" si="43"/>
        <v>0</v>
      </c>
      <c r="GR36">
        <v>0</v>
      </c>
      <c r="GS36">
        <v>3</v>
      </c>
      <c r="GT36">
        <v>0</v>
      </c>
      <c r="GU36" t="s">
        <v>3</v>
      </c>
      <c r="GV36">
        <f t="shared" si="44"/>
        <v>0</v>
      </c>
      <c r="GW36">
        <v>1</v>
      </c>
      <c r="GX36">
        <f t="shared" si="45"/>
        <v>0</v>
      </c>
      <c r="HA36">
        <v>0</v>
      </c>
      <c r="HB36">
        <v>0</v>
      </c>
      <c r="HC36">
        <f t="shared" si="46"/>
        <v>0</v>
      </c>
      <c r="IK36">
        <v>0</v>
      </c>
    </row>
    <row r="37" spans="1:245" x14ac:dyDescent="0.25">
      <c r="A37">
        <v>18</v>
      </c>
      <c r="B37">
        <v>1</v>
      </c>
      <c r="C37">
        <v>51</v>
      </c>
      <c r="E37" t="s">
        <v>103</v>
      </c>
      <c r="F37" t="s">
        <v>104</v>
      </c>
      <c r="G37" t="s">
        <v>105</v>
      </c>
      <c r="H37" t="s">
        <v>45</v>
      </c>
      <c r="I37">
        <f>I36*J37</f>
        <v>9.75</v>
      </c>
      <c r="J37">
        <v>15</v>
      </c>
      <c r="O37">
        <f t="shared" si="14"/>
        <v>6399.65</v>
      </c>
      <c r="P37">
        <f t="shared" si="15"/>
        <v>6399.65</v>
      </c>
      <c r="Q37">
        <f>(ROUND((ROUND(((ET37)*AV37*I37),2)*BB37),2)+ROUND((ROUND(((AE37-(EU37))*AV37*I37),2)*BS37),2))</f>
        <v>0</v>
      </c>
      <c r="R37">
        <f t="shared" si="16"/>
        <v>0</v>
      </c>
      <c r="S37">
        <f t="shared" si="17"/>
        <v>0</v>
      </c>
      <c r="T37">
        <f t="shared" si="18"/>
        <v>0</v>
      </c>
      <c r="U37">
        <f t="shared" si="19"/>
        <v>0</v>
      </c>
      <c r="V37">
        <f t="shared" si="20"/>
        <v>0</v>
      </c>
      <c r="W37">
        <f t="shared" si="21"/>
        <v>0</v>
      </c>
      <c r="X37">
        <f t="shared" si="22"/>
        <v>0</v>
      </c>
      <c r="Y37">
        <f t="shared" si="23"/>
        <v>0</v>
      </c>
      <c r="AA37">
        <v>23231056</v>
      </c>
      <c r="AB37">
        <f t="shared" si="24"/>
        <v>146.84</v>
      </c>
      <c r="AC37">
        <f t="shared" si="25"/>
        <v>146.84</v>
      </c>
      <c r="AD37">
        <f>ROUND((((ET37)-(EU37))+AE37),6)</f>
        <v>0</v>
      </c>
      <c r="AE37">
        <f>ROUND((EU37),6)</f>
        <v>0</v>
      </c>
      <c r="AF37">
        <f>ROUND((EV37),6)</f>
        <v>0</v>
      </c>
      <c r="AG37">
        <f t="shared" si="26"/>
        <v>0</v>
      </c>
      <c r="AH37">
        <f>(EW37)</f>
        <v>0</v>
      </c>
      <c r="AI37">
        <f>(EX37)</f>
        <v>0</v>
      </c>
      <c r="AJ37">
        <f t="shared" si="27"/>
        <v>0</v>
      </c>
      <c r="AK37">
        <v>146.84</v>
      </c>
      <c r="AL37">
        <v>146.84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4.47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106</v>
      </c>
      <c r="BM37">
        <v>295</v>
      </c>
      <c r="BN37">
        <v>0</v>
      </c>
      <c r="BO37" t="s">
        <v>104</v>
      </c>
      <c r="BP37">
        <v>1</v>
      </c>
      <c r="BQ37">
        <v>30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8"/>
        <v>6399.65</v>
      </c>
      <c r="CQ37">
        <f t="shared" si="29"/>
        <v>656.37</v>
      </c>
      <c r="CR37">
        <f>(ROUND((ROUND(((ET37)*AV37*1),2)*BB37),2)+ROUND((ROUND(((AE37-(EU37))*AV37*1),2)*BS37),2))</f>
        <v>0</v>
      </c>
      <c r="CS37">
        <f t="shared" si="30"/>
        <v>0</v>
      </c>
      <c r="CT37">
        <f t="shared" si="31"/>
        <v>0</v>
      </c>
      <c r="CU37">
        <f t="shared" si="32"/>
        <v>0</v>
      </c>
      <c r="CV37">
        <f t="shared" si="33"/>
        <v>0</v>
      </c>
      <c r="CW37">
        <f t="shared" si="34"/>
        <v>0</v>
      </c>
      <c r="CX37">
        <f t="shared" si="35"/>
        <v>0</v>
      </c>
      <c r="CY37">
        <f t="shared" si="36"/>
        <v>0</v>
      </c>
      <c r="CZ37">
        <f t="shared" si="37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156</v>
      </c>
      <c r="DO37">
        <v>84</v>
      </c>
      <c r="DP37">
        <v>1</v>
      </c>
      <c r="DQ37">
        <v>1</v>
      </c>
      <c r="DU37">
        <v>1007</v>
      </c>
      <c r="DV37" t="s">
        <v>45</v>
      </c>
      <c r="DW37" t="s">
        <v>45</v>
      </c>
      <c r="DX37">
        <v>1</v>
      </c>
      <c r="EE37">
        <v>22827136</v>
      </c>
      <c r="EF37">
        <v>30</v>
      </c>
      <c r="EG37" t="s">
        <v>38</v>
      </c>
      <c r="EH37">
        <v>0</v>
      </c>
      <c r="EI37" t="s">
        <v>3</v>
      </c>
      <c r="EJ37">
        <v>1</v>
      </c>
      <c r="EK37">
        <v>295</v>
      </c>
      <c r="EL37" t="s">
        <v>101</v>
      </c>
      <c r="EM37" t="s">
        <v>102</v>
      </c>
      <c r="EO37" t="s">
        <v>3</v>
      </c>
      <c r="EQ37">
        <v>0</v>
      </c>
      <c r="ER37">
        <v>146.84</v>
      </c>
      <c r="ES37">
        <v>146.84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38"/>
        <v>0</v>
      </c>
      <c r="FS37">
        <v>0</v>
      </c>
      <c r="FX37">
        <v>156</v>
      </c>
      <c r="FY37">
        <v>84</v>
      </c>
      <c r="GA37" t="s">
        <v>3</v>
      </c>
      <c r="GD37">
        <v>0</v>
      </c>
      <c r="GF37">
        <v>-1500617653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39"/>
        <v>0</v>
      </c>
      <c r="GM37">
        <f t="shared" si="40"/>
        <v>6399.65</v>
      </c>
      <c r="GN37">
        <f t="shared" si="41"/>
        <v>6399.65</v>
      </c>
      <c r="GO37">
        <f t="shared" si="42"/>
        <v>0</v>
      </c>
      <c r="GP37">
        <f t="shared" si="43"/>
        <v>0</v>
      </c>
      <c r="GR37">
        <v>0</v>
      </c>
      <c r="GS37">
        <v>3</v>
      </c>
      <c r="GT37">
        <v>0</v>
      </c>
      <c r="GU37" t="s">
        <v>3</v>
      </c>
      <c r="GV37">
        <f t="shared" si="44"/>
        <v>0</v>
      </c>
      <c r="GW37">
        <v>1</v>
      </c>
      <c r="GX37">
        <f t="shared" si="45"/>
        <v>0</v>
      </c>
      <c r="HA37">
        <v>0</v>
      </c>
      <c r="HB37">
        <v>0</v>
      </c>
      <c r="HC37">
        <f t="shared" si="46"/>
        <v>0</v>
      </c>
      <c r="IK37">
        <v>0</v>
      </c>
    </row>
    <row r="38" spans="1:245" x14ac:dyDescent="0.25">
      <c r="A38">
        <v>17</v>
      </c>
      <c r="B38">
        <v>1</v>
      </c>
      <c r="C38">
        <f>ROW(SmtRes!A54)</f>
        <v>54</v>
      </c>
      <c r="D38">
        <f>ROW(EtalonRes!A54)</f>
        <v>54</v>
      </c>
      <c r="E38" t="s">
        <v>107</v>
      </c>
      <c r="F38" t="s">
        <v>108</v>
      </c>
      <c r="G38" t="s">
        <v>109</v>
      </c>
      <c r="H38" t="s">
        <v>71</v>
      </c>
      <c r="I38">
        <f>ROUND(I36,9)</f>
        <v>0.65</v>
      </c>
      <c r="J38">
        <v>0</v>
      </c>
      <c r="O38">
        <f t="shared" si="14"/>
        <v>1305.72</v>
      </c>
      <c r="P38">
        <f t="shared" si="15"/>
        <v>229.34</v>
      </c>
      <c r="Q38">
        <f>(ROUND((ROUND((((ET38*1.15))*AV38*I38),2)*BB38),2)+ROUND((ROUND(((AE38-((EU38*1.15)))*AV38*I38),2)*BS38),2))</f>
        <v>0</v>
      </c>
      <c r="R38">
        <f t="shared" si="16"/>
        <v>0</v>
      </c>
      <c r="S38">
        <f t="shared" si="17"/>
        <v>1076.3800000000001</v>
      </c>
      <c r="T38">
        <f t="shared" si="18"/>
        <v>0</v>
      </c>
      <c r="U38">
        <f t="shared" si="19"/>
        <v>3.9243749999999999</v>
      </c>
      <c r="V38">
        <f t="shared" si="20"/>
        <v>0</v>
      </c>
      <c r="W38">
        <f t="shared" si="21"/>
        <v>0</v>
      </c>
      <c r="X38">
        <f t="shared" si="22"/>
        <v>968.74</v>
      </c>
      <c r="Y38">
        <f t="shared" si="23"/>
        <v>441.32</v>
      </c>
      <c r="AA38">
        <v>23231056</v>
      </c>
      <c r="AB38">
        <f t="shared" si="24"/>
        <v>138.20500000000001</v>
      </c>
      <c r="AC38">
        <f t="shared" si="25"/>
        <v>70.7</v>
      </c>
      <c r="AD38">
        <f>ROUND(((((ET38*1.15))-((EU38*1.15)))+AE38),6)</f>
        <v>0</v>
      </c>
      <c r="AE38">
        <f>ROUND(((EU38*1.15)),6)</f>
        <v>0</v>
      </c>
      <c r="AF38">
        <f>ROUND(((EV38*1.15)),6)</f>
        <v>67.504999999999995</v>
      </c>
      <c r="AG38">
        <f t="shared" si="26"/>
        <v>0</v>
      </c>
      <c r="AH38">
        <f>((EW38*1.15))</f>
        <v>6.0374999999999996</v>
      </c>
      <c r="AI38">
        <f>((EX38*1.15))</f>
        <v>0</v>
      </c>
      <c r="AJ38">
        <f t="shared" si="27"/>
        <v>0</v>
      </c>
      <c r="AK38">
        <v>129.4</v>
      </c>
      <c r="AL38">
        <v>70.7</v>
      </c>
      <c r="AM38">
        <v>0</v>
      </c>
      <c r="AN38">
        <v>0</v>
      </c>
      <c r="AO38">
        <v>58.7</v>
      </c>
      <c r="AP38">
        <v>0</v>
      </c>
      <c r="AQ38">
        <v>5.25</v>
      </c>
      <c r="AR38">
        <v>0</v>
      </c>
      <c r="AS38">
        <v>0</v>
      </c>
      <c r="AT38">
        <v>90</v>
      </c>
      <c r="AU38">
        <v>41</v>
      </c>
      <c r="AV38">
        <v>1</v>
      </c>
      <c r="AW38">
        <v>1</v>
      </c>
      <c r="AZ38">
        <v>1</v>
      </c>
      <c r="BA38">
        <v>24.53</v>
      </c>
      <c r="BB38">
        <v>1</v>
      </c>
      <c r="BC38">
        <v>4.99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110</v>
      </c>
      <c r="BM38">
        <v>295</v>
      </c>
      <c r="BN38">
        <v>0</v>
      </c>
      <c r="BO38" t="s">
        <v>108</v>
      </c>
      <c r="BP38">
        <v>1</v>
      </c>
      <c r="BQ38">
        <v>30</v>
      </c>
      <c r="BR38">
        <v>0</v>
      </c>
      <c r="BS38">
        <v>24.53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90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36</v>
      </c>
      <c r="CO38">
        <v>0</v>
      </c>
      <c r="CP38">
        <f t="shared" si="28"/>
        <v>1305.72</v>
      </c>
      <c r="CQ38">
        <f t="shared" si="29"/>
        <v>352.79</v>
      </c>
      <c r="CR38">
        <f>(ROUND((ROUND((((ET38*1.15))*AV38*1),2)*BB38),2)+ROUND((ROUND(((AE38-((EU38*1.15)))*AV38*1),2)*BS38),2))</f>
        <v>0</v>
      </c>
      <c r="CS38">
        <f t="shared" si="30"/>
        <v>0</v>
      </c>
      <c r="CT38">
        <f t="shared" si="31"/>
        <v>1656.02</v>
      </c>
      <c r="CU38">
        <f t="shared" si="32"/>
        <v>0</v>
      </c>
      <c r="CV38">
        <f t="shared" si="33"/>
        <v>6.0374999999999996</v>
      </c>
      <c r="CW38">
        <f t="shared" si="34"/>
        <v>0</v>
      </c>
      <c r="CX38">
        <f t="shared" si="35"/>
        <v>0</v>
      </c>
      <c r="CY38">
        <f t="shared" si="36"/>
        <v>968.74200000000008</v>
      </c>
      <c r="CZ38">
        <f t="shared" si="37"/>
        <v>441.31580000000002</v>
      </c>
      <c r="DC38" t="s">
        <v>3</v>
      </c>
      <c r="DD38" t="s">
        <v>3</v>
      </c>
      <c r="DE38" t="s">
        <v>37</v>
      </c>
      <c r="DF38" t="s">
        <v>37</v>
      </c>
      <c r="DG38" t="s">
        <v>37</v>
      </c>
      <c r="DH38" t="s">
        <v>3</v>
      </c>
      <c r="DI38" t="s">
        <v>37</v>
      </c>
      <c r="DJ38" t="s">
        <v>37</v>
      </c>
      <c r="DK38" t="s">
        <v>3</v>
      </c>
      <c r="DL38" t="s">
        <v>3</v>
      </c>
      <c r="DM38" t="s">
        <v>3</v>
      </c>
      <c r="DN38">
        <v>156</v>
      </c>
      <c r="DO38">
        <v>84</v>
      </c>
      <c r="DP38">
        <v>1</v>
      </c>
      <c r="DQ38">
        <v>1</v>
      </c>
      <c r="DU38">
        <v>1005</v>
      </c>
      <c r="DV38" t="s">
        <v>71</v>
      </c>
      <c r="DW38" t="s">
        <v>71</v>
      </c>
      <c r="DX38">
        <v>100</v>
      </c>
      <c r="EE38">
        <v>22827136</v>
      </c>
      <c r="EF38">
        <v>30</v>
      </c>
      <c r="EG38" t="s">
        <v>38</v>
      </c>
      <c r="EH38">
        <v>0</v>
      </c>
      <c r="EI38" t="s">
        <v>3</v>
      </c>
      <c r="EJ38">
        <v>1</v>
      </c>
      <c r="EK38">
        <v>295</v>
      </c>
      <c r="EL38" t="s">
        <v>101</v>
      </c>
      <c r="EM38" t="s">
        <v>102</v>
      </c>
      <c r="EO38" t="s">
        <v>41</v>
      </c>
      <c r="EQ38">
        <v>0</v>
      </c>
      <c r="ER38">
        <v>129.4</v>
      </c>
      <c r="ES38">
        <v>70.7</v>
      </c>
      <c r="ET38">
        <v>0</v>
      </c>
      <c r="EU38">
        <v>0</v>
      </c>
      <c r="EV38">
        <v>58.7</v>
      </c>
      <c r="EW38">
        <v>5.25</v>
      </c>
      <c r="EX38">
        <v>0</v>
      </c>
      <c r="EY38">
        <v>0</v>
      </c>
      <c r="FQ38">
        <v>0</v>
      </c>
      <c r="FR38">
        <f t="shared" si="38"/>
        <v>0</v>
      </c>
      <c r="FS38">
        <v>0</v>
      </c>
      <c r="FX38">
        <v>156</v>
      </c>
      <c r="FY38">
        <v>84</v>
      </c>
      <c r="GA38" t="s">
        <v>3</v>
      </c>
      <c r="GD38">
        <v>0</v>
      </c>
      <c r="GF38">
        <v>302826848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39"/>
        <v>0</v>
      </c>
      <c r="GM38">
        <f t="shared" si="40"/>
        <v>2715.78</v>
      </c>
      <c r="GN38">
        <f t="shared" si="41"/>
        <v>2715.78</v>
      </c>
      <c r="GO38">
        <f t="shared" si="42"/>
        <v>0</v>
      </c>
      <c r="GP38">
        <f t="shared" si="43"/>
        <v>0</v>
      </c>
      <c r="GR38">
        <v>0</v>
      </c>
      <c r="GS38">
        <v>3</v>
      </c>
      <c r="GT38">
        <v>0</v>
      </c>
      <c r="GU38" t="s">
        <v>3</v>
      </c>
      <c r="GV38">
        <f t="shared" si="44"/>
        <v>0</v>
      </c>
      <c r="GW38">
        <v>1</v>
      </c>
      <c r="GX38">
        <f t="shared" si="45"/>
        <v>0</v>
      </c>
      <c r="HA38">
        <v>0</v>
      </c>
      <c r="HB38">
        <v>0</v>
      </c>
      <c r="HC38">
        <f t="shared" si="46"/>
        <v>0</v>
      </c>
      <c r="IK38">
        <v>0</v>
      </c>
    </row>
    <row r="39" spans="1:245" x14ac:dyDescent="0.25">
      <c r="A39">
        <v>18</v>
      </c>
      <c r="B39">
        <v>1</v>
      </c>
      <c r="C39">
        <v>54</v>
      </c>
      <c r="E39" t="s">
        <v>111</v>
      </c>
      <c r="F39" t="s">
        <v>112</v>
      </c>
      <c r="G39" t="s">
        <v>113</v>
      </c>
      <c r="H39" t="s">
        <v>114</v>
      </c>
      <c r="I39">
        <f>I38*J39</f>
        <v>2.6</v>
      </c>
      <c r="J39">
        <v>4</v>
      </c>
      <c r="O39">
        <f t="shared" si="14"/>
        <v>221.14</v>
      </c>
      <c r="P39">
        <f t="shared" si="15"/>
        <v>221.14</v>
      </c>
      <c r="Q39">
        <f>(ROUND((ROUND(((ET39)*AV39*I39),2)*BB39),2)+ROUND((ROUND(((AE39-(EU39))*AV39*I39),2)*BS39),2))</f>
        <v>0</v>
      </c>
      <c r="R39">
        <f t="shared" si="16"/>
        <v>0</v>
      </c>
      <c r="S39">
        <f t="shared" si="17"/>
        <v>0</v>
      </c>
      <c r="T39">
        <f t="shared" si="18"/>
        <v>0</v>
      </c>
      <c r="U39">
        <f t="shared" si="19"/>
        <v>0</v>
      </c>
      <c r="V39">
        <f t="shared" si="20"/>
        <v>0</v>
      </c>
      <c r="W39">
        <f t="shared" si="21"/>
        <v>0</v>
      </c>
      <c r="X39">
        <f t="shared" si="22"/>
        <v>0</v>
      </c>
      <c r="Y39">
        <f t="shared" si="23"/>
        <v>0</v>
      </c>
      <c r="AA39">
        <v>23231056</v>
      </c>
      <c r="AB39">
        <f t="shared" si="24"/>
        <v>17.72</v>
      </c>
      <c r="AC39">
        <f t="shared" si="25"/>
        <v>17.72</v>
      </c>
      <c r="AD39">
        <f>ROUND((((ET39)-(EU39))+AE39),6)</f>
        <v>0</v>
      </c>
      <c r="AE39">
        <f>ROUND((EU39),6)</f>
        <v>0</v>
      </c>
      <c r="AF39">
        <f>ROUND((EV39),6)</f>
        <v>0</v>
      </c>
      <c r="AG39">
        <f t="shared" si="26"/>
        <v>0</v>
      </c>
      <c r="AH39">
        <f>(EW39)</f>
        <v>0</v>
      </c>
      <c r="AI39">
        <f>(EX39)</f>
        <v>0</v>
      </c>
      <c r="AJ39">
        <f t="shared" si="27"/>
        <v>0</v>
      </c>
      <c r="AK39">
        <v>17.72</v>
      </c>
      <c r="AL39">
        <v>17.72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4.8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115</v>
      </c>
      <c r="BM39">
        <v>295</v>
      </c>
      <c r="BN39">
        <v>0</v>
      </c>
      <c r="BO39" t="s">
        <v>112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E39">
        <v>30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8"/>
        <v>221.14</v>
      </c>
      <c r="CQ39">
        <f t="shared" si="29"/>
        <v>85.06</v>
      </c>
      <c r="CR39">
        <f>(ROUND((ROUND(((ET39)*AV39*1),2)*BB39),2)+ROUND((ROUND(((AE39-(EU39))*AV39*1),2)*BS39),2))</f>
        <v>0</v>
      </c>
      <c r="CS39">
        <f t="shared" si="30"/>
        <v>0</v>
      </c>
      <c r="CT39">
        <f t="shared" si="31"/>
        <v>0</v>
      </c>
      <c r="CU39">
        <f t="shared" si="32"/>
        <v>0</v>
      </c>
      <c r="CV39">
        <f t="shared" si="33"/>
        <v>0</v>
      </c>
      <c r="CW39">
        <f t="shared" si="34"/>
        <v>0</v>
      </c>
      <c r="CX39">
        <f t="shared" si="35"/>
        <v>0</v>
      </c>
      <c r="CY39">
        <f t="shared" si="36"/>
        <v>0</v>
      </c>
      <c r="CZ39">
        <f t="shared" si="37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156</v>
      </c>
      <c r="DO39">
        <v>84</v>
      </c>
      <c r="DP39">
        <v>1</v>
      </c>
      <c r="DQ39">
        <v>1</v>
      </c>
      <c r="DU39">
        <v>1009</v>
      </c>
      <c r="DV39" t="s">
        <v>114</v>
      </c>
      <c r="DW39" t="s">
        <v>114</v>
      </c>
      <c r="DX39">
        <v>1</v>
      </c>
      <c r="EE39">
        <v>22827136</v>
      </c>
      <c r="EF39">
        <v>30</v>
      </c>
      <c r="EG39" t="s">
        <v>38</v>
      </c>
      <c r="EH39">
        <v>0</v>
      </c>
      <c r="EI39" t="s">
        <v>3</v>
      </c>
      <c r="EJ39">
        <v>1</v>
      </c>
      <c r="EK39">
        <v>295</v>
      </c>
      <c r="EL39" t="s">
        <v>101</v>
      </c>
      <c r="EM39" t="s">
        <v>102</v>
      </c>
      <c r="EO39" t="s">
        <v>3</v>
      </c>
      <c r="EQ39">
        <v>0</v>
      </c>
      <c r="ER39">
        <v>17.72</v>
      </c>
      <c r="ES39">
        <v>17.72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38"/>
        <v>0</v>
      </c>
      <c r="FS39">
        <v>0</v>
      </c>
      <c r="FX39">
        <v>156</v>
      </c>
      <c r="FY39">
        <v>84</v>
      </c>
      <c r="GA39" t="s">
        <v>3</v>
      </c>
      <c r="GD39">
        <v>0</v>
      </c>
      <c r="GF39">
        <v>-1414983589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39"/>
        <v>0</v>
      </c>
      <c r="GM39">
        <f t="shared" si="40"/>
        <v>221.14</v>
      </c>
      <c r="GN39">
        <f t="shared" si="41"/>
        <v>221.14</v>
      </c>
      <c r="GO39">
        <f t="shared" si="42"/>
        <v>0</v>
      </c>
      <c r="GP39">
        <f t="shared" si="43"/>
        <v>0</v>
      </c>
      <c r="GR39">
        <v>0</v>
      </c>
      <c r="GS39">
        <v>3</v>
      </c>
      <c r="GT39">
        <v>0</v>
      </c>
      <c r="GU39" t="s">
        <v>3</v>
      </c>
      <c r="GV39">
        <f t="shared" si="44"/>
        <v>0</v>
      </c>
      <c r="GW39">
        <v>1</v>
      </c>
      <c r="GX39">
        <f t="shared" si="45"/>
        <v>0</v>
      </c>
      <c r="HA39">
        <v>0</v>
      </c>
      <c r="HB39">
        <v>0</v>
      </c>
      <c r="HC39">
        <f t="shared" si="46"/>
        <v>0</v>
      </c>
      <c r="IK39">
        <v>0</v>
      </c>
    </row>
    <row r="41" spans="1:245" x14ac:dyDescent="0.25">
      <c r="A41" s="2">
        <v>51</v>
      </c>
      <c r="B41" s="2">
        <f>B20</f>
        <v>1</v>
      </c>
      <c r="C41" s="2">
        <f>A20</f>
        <v>3</v>
      </c>
      <c r="D41" s="2">
        <f>ROW(A20)</f>
        <v>20</v>
      </c>
      <c r="E41" s="2"/>
      <c r="F41" s="2" t="str">
        <f>IF(F20&lt;&gt;"",F20,"")</f>
        <v>Новая локальная смета</v>
      </c>
      <c r="G41" s="2" t="str">
        <f>IF(G20&lt;&gt;"",G20,"")</f>
        <v>Благоустройство.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49">ROUND(AB41,2)</f>
        <v>55920.21</v>
      </c>
      <c r="P41" s="2">
        <f t="shared" si="49"/>
        <v>14573.27</v>
      </c>
      <c r="Q41" s="2">
        <f t="shared" si="49"/>
        <v>303.73</v>
      </c>
      <c r="R41" s="2">
        <f t="shared" si="49"/>
        <v>132.18</v>
      </c>
      <c r="S41" s="2">
        <f t="shared" si="49"/>
        <v>41043.21</v>
      </c>
      <c r="T41" s="2">
        <f t="shared" si="49"/>
        <v>0</v>
      </c>
      <c r="U41" s="2">
        <f>AH41</f>
        <v>167.21151350540001</v>
      </c>
      <c r="V41" s="2">
        <f>AI41</f>
        <v>0</v>
      </c>
      <c r="W41" s="2">
        <f>ROUND(AJ41,2)</f>
        <v>0</v>
      </c>
      <c r="X41" s="2">
        <f>ROUND(AK41,2)</f>
        <v>31006.85</v>
      </c>
      <c r="Y41" s="2">
        <f>ROUND(AL41,2)</f>
        <v>17071.330000000002</v>
      </c>
      <c r="Z41" s="2"/>
      <c r="AA41" s="2"/>
      <c r="AB41" s="2">
        <f>ROUND(SUMIF(AA24:AA39,"=23231056",O24:O39),2)</f>
        <v>55920.21</v>
      </c>
      <c r="AC41" s="2">
        <f>ROUND(SUMIF(AA24:AA39,"=23231056",P24:P39),2)</f>
        <v>14573.27</v>
      </c>
      <c r="AD41" s="2">
        <f>ROUND(SUMIF(AA24:AA39,"=23231056",Q24:Q39),2)</f>
        <v>303.73</v>
      </c>
      <c r="AE41" s="2">
        <f>ROUND(SUMIF(AA24:AA39,"=23231056",R24:R39),2)</f>
        <v>132.18</v>
      </c>
      <c r="AF41" s="2">
        <f>ROUND(SUMIF(AA24:AA39,"=23231056",S24:S39),2)</f>
        <v>41043.21</v>
      </c>
      <c r="AG41" s="2">
        <f>ROUND(SUMIF(AA24:AA39,"=23231056",T24:T39),2)</f>
        <v>0</v>
      </c>
      <c r="AH41" s="2">
        <f>SUMIF(AA24:AA39,"=23231056",U24:U39)</f>
        <v>167.21151350540001</v>
      </c>
      <c r="AI41" s="2">
        <f>SUMIF(AA24:AA39,"=23231056",V24:V39)</f>
        <v>0</v>
      </c>
      <c r="AJ41" s="2">
        <f>ROUND(SUMIF(AA24:AA39,"=23231056",W24:W39),2)</f>
        <v>0</v>
      </c>
      <c r="AK41" s="2">
        <f>ROUND(SUMIF(AA24:AA39,"=23231056",X24:X39),2)</f>
        <v>31006.85</v>
      </c>
      <c r="AL41" s="2">
        <f>ROUND(SUMIF(AA24:AA39,"=23231056",Y24:Y39),2)</f>
        <v>17071.330000000002</v>
      </c>
      <c r="AM41" s="2"/>
      <c r="AN41" s="2"/>
      <c r="AO41" s="2">
        <f t="shared" ref="AO41:BC41" si="50">ROUND(BX41,2)</f>
        <v>0</v>
      </c>
      <c r="AP41" s="2">
        <f t="shared" si="50"/>
        <v>0</v>
      </c>
      <c r="AQ41" s="2">
        <f t="shared" si="50"/>
        <v>0</v>
      </c>
      <c r="AR41" s="2">
        <f t="shared" si="50"/>
        <v>104205.9</v>
      </c>
      <c r="AS41" s="2">
        <f t="shared" si="50"/>
        <v>104205.9</v>
      </c>
      <c r="AT41" s="2">
        <f t="shared" si="50"/>
        <v>0</v>
      </c>
      <c r="AU41" s="2">
        <f t="shared" si="50"/>
        <v>0</v>
      </c>
      <c r="AV41" s="2">
        <f t="shared" si="50"/>
        <v>14573.27</v>
      </c>
      <c r="AW41" s="2">
        <f t="shared" si="50"/>
        <v>14573.27</v>
      </c>
      <c r="AX41" s="2">
        <f t="shared" si="50"/>
        <v>0</v>
      </c>
      <c r="AY41" s="2">
        <f t="shared" si="50"/>
        <v>14573.27</v>
      </c>
      <c r="AZ41" s="2">
        <f t="shared" si="50"/>
        <v>0</v>
      </c>
      <c r="BA41" s="2">
        <f t="shared" si="50"/>
        <v>0</v>
      </c>
      <c r="BB41" s="2">
        <f t="shared" si="50"/>
        <v>0</v>
      </c>
      <c r="BC41" s="2">
        <f t="shared" si="50"/>
        <v>0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ROUND(SUMIF(AA24:AA39,"=23231056",FQ24:FQ39),2)</f>
        <v>0</v>
      </c>
      <c r="BY41" s="2">
        <f>ROUND(SUMIF(AA24:AA39,"=23231056",FR24:FR39),2)</f>
        <v>0</v>
      </c>
      <c r="BZ41" s="2">
        <f>ROUND(SUMIF(AA24:AA39,"=23231056",GL24:GL39),2)</f>
        <v>0</v>
      </c>
      <c r="CA41" s="2">
        <f>ROUND(SUMIF(AA24:AA39,"=23231056",GM24:GM39),2)</f>
        <v>104205.9</v>
      </c>
      <c r="CB41" s="2">
        <f>ROUND(SUMIF(AA24:AA39,"=23231056",GN24:GN39),2)</f>
        <v>104205.9</v>
      </c>
      <c r="CC41" s="2">
        <f>ROUND(SUMIF(AA24:AA39,"=23231056",GO24:GO39),2)</f>
        <v>0</v>
      </c>
      <c r="CD41" s="2">
        <f>ROUND(SUMIF(AA24:AA39,"=23231056",GP24:GP39),2)</f>
        <v>0</v>
      </c>
      <c r="CE41" s="2">
        <f>AC41-BX41</f>
        <v>14573.27</v>
      </c>
      <c r="CF41" s="2">
        <f>AC41-BY41</f>
        <v>14573.27</v>
      </c>
      <c r="CG41" s="2">
        <f>BX41-BZ41</f>
        <v>0</v>
      </c>
      <c r="CH41" s="2">
        <f>AC41-BX41-BY41+BZ41</f>
        <v>14573.27</v>
      </c>
      <c r="CI41" s="2">
        <f>BY41-BZ41</f>
        <v>0</v>
      </c>
      <c r="CJ41" s="2">
        <f>ROUND(SUMIF(AA24:AA39,"=23231056",GX24:GX39),2)</f>
        <v>0</v>
      </c>
      <c r="CK41" s="2">
        <f>ROUND(SUMIF(AA24:AA39,"=23231056",GY24:GY39),2)</f>
        <v>0</v>
      </c>
      <c r="CL41" s="2">
        <f>ROUND(SUMIF(AA24:AA39,"=23231056",GZ24:GZ39),2)</f>
        <v>0</v>
      </c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5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55920.21</v>
      </c>
      <c r="G43" s="4" t="s">
        <v>116</v>
      </c>
      <c r="H43" s="4" t="s">
        <v>117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5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14573.27</v>
      </c>
      <c r="G44" s="4" t="s">
        <v>118</v>
      </c>
      <c r="H44" s="4" t="s">
        <v>119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5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120</v>
      </c>
      <c r="H45" s="4" t="s">
        <v>121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5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14573.27</v>
      </c>
      <c r="G46" s="4" t="s">
        <v>122</v>
      </c>
      <c r="H46" s="4" t="s">
        <v>123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5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14573.27</v>
      </c>
      <c r="G47" s="4" t="s">
        <v>124</v>
      </c>
      <c r="H47" s="4" t="s">
        <v>125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5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126</v>
      </c>
      <c r="H48" s="4" t="s">
        <v>127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14573.27</v>
      </c>
      <c r="G49" s="4" t="s">
        <v>128</v>
      </c>
      <c r="H49" s="4" t="s">
        <v>129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130</v>
      </c>
      <c r="H50" s="4" t="s">
        <v>131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132</v>
      </c>
      <c r="H51" s="4" t="s">
        <v>133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134</v>
      </c>
      <c r="H52" s="4" t="s">
        <v>135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303.73</v>
      </c>
      <c r="G53" s="4" t="s">
        <v>136</v>
      </c>
      <c r="H53" s="4" t="s">
        <v>137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138</v>
      </c>
      <c r="H54" s="4" t="s">
        <v>139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132.18</v>
      </c>
      <c r="G55" s="4" t="s">
        <v>140</v>
      </c>
      <c r="H55" s="4" t="s">
        <v>141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41043.21</v>
      </c>
      <c r="G56" s="4" t="s">
        <v>142</v>
      </c>
      <c r="H56" s="4" t="s">
        <v>143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144</v>
      </c>
      <c r="H57" s="4" t="s">
        <v>145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104205.9</v>
      </c>
      <c r="G58" s="4" t="s">
        <v>146</v>
      </c>
      <c r="H58" s="4" t="s">
        <v>147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0</v>
      </c>
      <c r="G59" s="4" t="s">
        <v>148</v>
      </c>
      <c r="H59" s="4" t="s">
        <v>149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150</v>
      </c>
      <c r="H60" s="4" t="s">
        <v>151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152</v>
      </c>
      <c r="H61" s="4" t="s">
        <v>153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154</v>
      </c>
      <c r="H62" s="4" t="s">
        <v>155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167.21151350540001</v>
      </c>
      <c r="G63" s="4" t="s">
        <v>156</v>
      </c>
      <c r="H63" s="4" t="s">
        <v>157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158</v>
      </c>
      <c r="H64" s="4" t="s">
        <v>159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06" x14ac:dyDescent="0.25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160</v>
      </c>
      <c r="H65" s="4" t="s">
        <v>161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06" x14ac:dyDescent="0.25">
      <c r="A66" s="4">
        <v>50</v>
      </c>
      <c r="B66" s="4">
        <v>0</v>
      </c>
      <c r="C66" s="4">
        <v>0</v>
      </c>
      <c r="D66" s="4">
        <v>1</v>
      </c>
      <c r="E66" s="4">
        <v>210</v>
      </c>
      <c r="F66" s="4">
        <f>ROUND(Source!X41,O66)</f>
        <v>31006.85</v>
      </c>
      <c r="G66" s="4" t="s">
        <v>162</v>
      </c>
      <c r="H66" s="4" t="s">
        <v>163</v>
      </c>
      <c r="I66" s="4"/>
      <c r="J66" s="4"/>
      <c r="K66" s="4">
        <v>210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06" x14ac:dyDescent="0.25">
      <c r="A67" s="4">
        <v>50</v>
      </c>
      <c r="B67" s="4">
        <v>0</v>
      </c>
      <c r="C67" s="4">
        <v>0</v>
      </c>
      <c r="D67" s="4">
        <v>1</v>
      </c>
      <c r="E67" s="4">
        <v>211</v>
      </c>
      <c r="F67" s="4">
        <f>ROUND(Source!Y41,O67)</f>
        <v>17071.330000000002</v>
      </c>
      <c r="G67" s="4" t="s">
        <v>164</v>
      </c>
      <c r="H67" s="4" t="s">
        <v>165</v>
      </c>
      <c r="I67" s="4"/>
      <c r="J67" s="4"/>
      <c r="K67" s="4">
        <v>211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06" x14ac:dyDescent="0.25">
      <c r="A68" s="4">
        <v>50</v>
      </c>
      <c r="B68" s="4">
        <v>0</v>
      </c>
      <c r="C68" s="4">
        <v>0</v>
      </c>
      <c r="D68" s="4">
        <v>1</v>
      </c>
      <c r="E68" s="4">
        <v>224</v>
      </c>
      <c r="F68" s="4">
        <f>ROUND(Source!AR41,O68)</f>
        <v>104205.9</v>
      </c>
      <c r="G68" s="4" t="s">
        <v>166</v>
      </c>
      <c r="H68" s="4" t="s">
        <v>167</v>
      </c>
      <c r="I68" s="4"/>
      <c r="J68" s="4"/>
      <c r="K68" s="4">
        <v>224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70" spans="1:206" x14ac:dyDescent="0.25">
      <c r="A70" s="2">
        <v>51</v>
      </c>
      <c r="B70" s="2">
        <f>B12</f>
        <v>105</v>
      </c>
      <c r="C70" s="2">
        <f>A12</f>
        <v>1</v>
      </c>
      <c r="D70" s="2">
        <f>ROW(A12)</f>
        <v>12</v>
      </c>
      <c r="E70" s="2"/>
      <c r="F70" s="2" t="str">
        <f>IF(F12&lt;&gt;"",F12,"")</f>
        <v>КЛ-0,4 от ул.Центральная, д.6 до ул.Центральная, д.8.  Благоустройство.</v>
      </c>
      <c r="G70" s="2" t="str">
        <f>IF(G12&lt;&gt;"",G12,"")</f>
        <v>КЛ-0,4 от ул.Центральная, д.6 до ул.Центральная, д.8.  Благоустройство.</v>
      </c>
      <c r="H70" s="2">
        <v>0</v>
      </c>
      <c r="I70" s="2"/>
      <c r="J70" s="2"/>
      <c r="K70" s="2"/>
      <c r="L70" s="2"/>
      <c r="M70" s="2"/>
      <c r="N70" s="2"/>
      <c r="O70" s="2">
        <f t="shared" ref="O70:T70" si="51">ROUND(O41,2)</f>
        <v>55920.21</v>
      </c>
      <c r="P70" s="2">
        <f t="shared" si="51"/>
        <v>14573.27</v>
      </c>
      <c r="Q70" s="2">
        <f t="shared" si="51"/>
        <v>303.73</v>
      </c>
      <c r="R70" s="2">
        <f t="shared" si="51"/>
        <v>132.18</v>
      </c>
      <c r="S70" s="2">
        <f t="shared" si="51"/>
        <v>41043.21</v>
      </c>
      <c r="T70" s="2">
        <f t="shared" si="51"/>
        <v>0</v>
      </c>
      <c r="U70" s="2">
        <f>U41</f>
        <v>167.21151350540001</v>
      </c>
      <c r="V70" s="2">
        <f>V41</f>
        <v>0</v>
      </c>
      <c r="W70" s="2">
        <f>ROUND(W41,2)</f>
        <v>0</v>
      </c>
      <c r="X70" s="2">
        <f>ROUND(X41,2)</f>
        <v>31006.85</v>
      </c>
      <c r="Y70" s="2">
        <f>ROUND(Y41,2)</f>
        <v>17071.330000000002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>
        <f t="shared" ref="AO70:BC70" si="52">ROUND(AO41,2)</f>
        <v>0</v>
      </c>
      <c r="AP70" s="2">
        <f t="shared" si="52"/>
        <v>0</v>
      </c>
      <c r="AQ70" s="2">
        <f t="shared" si="52"/>
        <v>0</v>
      </c>
      <c r="AR70" s="2">
        <f t="shared" si="52"/>
        <v>104205.9</v>
      </c>
      <c r="AS70" s="2">
        <f t="shared" si="52"/>
        <v>104205.9</v>
      </c>
      <c r="AT70" s="2">
        <f t="shared" si="52"/>
        <v>0</v>
      </c>
      <c r="AU70" s="2">
        <f t="shared" si="52"/>
        <v>0</v>
      </c>
      <c r="AV70" s="2">
        <f t="shared" si="52"/>
        <v>14573.27</v>
      </c>
      <c r="AW70" s="2">
        <f t="shared" si="52"/>
        <v>14573.27</v>
      </c>
      <c r="AX70" s="2">
        <f t="shared" si="52"/>
        <v>0</v>
      </c>
      <c r="AY70" s="2">
        <f t="shared" si="52"/>
        <v>14573.27</v>
      </c>
      <c r="AZ70" s="2">
        <f t="shared" si="52"/>
        <v>0</v>
      </c>
      <c r="BA70" s="2">
        <f t="shared" si="52"/>
        <v>0</v>
      </c>
      <c r="BB70" s="2">
        <f t="shared" si="52"/>
        <v>0</v>
      </c>
      <c r="BC70" s="2">
        <f t="shared" si="52"/>
        <v>0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>
        <v>0</v>
      </c>
    </row>
    <row r="72" spans="1:206" x14ac:dyDescent="0.25">
      <c r="A72" s="4">
        <v>50</v>
      </c>
      <c r="B72" s="4">
        <v>0</v>
      </c>
      <c r="C72" s="4">
        <v>0</v>
      </c>
      <c r="D72" s="4">
        <v>1</v>
      </c>
      <c r="E72" s="4">
        <v>201</v>
      </c>
      <c r="F72" s="4">
        <f>ROUND(Source!O70,O72)</f>
        <v>55920.21</v>
      </c>
      <c r="G72" s="4" t="s">
        <v>116</v>
      </c>
      <c r="H72" s="4" t="s">
        <v>117</v>
      </c>
      <c r="I72" s="4"/>
      <c r="J72" s="4"/>
      <c r="K72" s="4">
        <v>201</v>
      </c>
      <c r="L72" s="4">
        <v>1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06" x14ac:dyDescent="0.25">
      <c r="A73" s="4">
        <v>50</v>
      </c>
      <c r="B73" s="4">
        <v>0</v>
      </c>
      <c r="C73" s="4">
        <v>0</v>
      </c>
      <c r="D73" s="4">
        <v>1</v>
      </c>
      <c r="E73" s="4">
        <v>202</v>
      </c>
      <c r="F73" s="4">
        <f>ROUND(Source!P70,O73)</f>
        <v>14573.27</v>
      </c>
      <c r="G73" s="4" t="s">
        <v>118</v>
      </c>
      <c r="H73" s="4" t="s">
        <v>119</v>
      </c>
      <c r="I73" s="4"/>
      <c r="J73" s="4"/>
      <c r="K73" s="4">
        <v>202</v>
      </c>
      <c r="L73" s="4">
        <v>2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06" x14ac:dyDescent="0.25">
      <c r="A74" s="4">
        <v>50</v>
      </c>
      <c r="B74" s="4">
        <v>0</v>
      </c>
      <c r="C74" s="4">
        <v>0</v>
      </c>
      <c r="D74" s="4">
        <v>1</v>
      </c>
      <c r="E74" s="4">
        <v>222</v>
      </c>
      <c r="F74" s="4">
        <f>ROUND(Source!AO70,O74)</f>
        <v>0</v>
      </c>
      <c r="G74" s="4" t="s">
        <v>120</v>
      </c>
      <c r="H74" s="4" t="s">
        <v>121</v>
      </c>
      <c r="I74" s="4"/>
      <c r="J74" s="4"/>
      <c r="K74" s="4">
        <v>222</v>
      </c>
      <c r="L74" s="4">
        <v>3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06" x14ac:dyDescent="0.25">
      <c r="A75" s="4">
        <v>50</v>
      </c>
      <c r="B75" s="4">
        <v>0</v>
      </c>
      <c r="C75" s="4">
        <v>0</v>
      </c>
      <c r="D75" s="4">
        <v>1</v>
      </c>
      <c r="E75" s="4">
        <v>225</v>
      </c>
      <c r="F75" s="4">
        <f>ROUND(Source!AV70,O75)</f>
        <v>14573.27</v>
      </c>
      <c r="G75" s="4" t="s">
        <v>122</v>
      </c>
      <c r="H75" s="4" t="s">
        <v>123</v>
      </c>
      <c r="I75" s="4"/>
      <c r="J75" s="4"/>
      <c r="K75" s="4">
        <v>225</v>
      </c>
      <c r="L75" s="4">
        <v>4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06" x14ac:dyDescent="0.25">
      <c r="A76" s="4">
        <v>50</v>
      </c>
      <c r="B76" s="4">
        <v>0</v>
      </c>
      <c r="C76" s="4">
        <v>0</v>
      </c>
      <c r="D76" s="4">
        <v>1</v>
      </c>
      <c r="E76" s="4">
        <v>226</v>
      </c>
      <c r="F76" s="4">
        <f>ROUND(Source!AW70,O76)</f>
        <v>14573.27</v>
      </c>
      <c r="G76" s="4" t="s">
        <v>124</v>
      </c>
      <c r="H76" s="4" t="s">
        <v>125</v>
      </c>
      <c r="I76" s="4"/>
      <c r="J76" s="4"/>
      <c r="K76" s="4">
        <v>226</v>
      </c>
      <c r="L76" s="4">
        <v>5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06" x14ac:dyDescent="0.25">
      <c r="A77" s="4">
        <v>50</v>
      </c>
      <c r="B77" s="4">
        <v>0</v>
      </c>
      <c r="C77" s="4">
        <v>0</v>
      </c>
      <c r="D77" s="4">
        <v>1</v>
      </c>
      <c r="E77" s="4">
        <v>227</v>
      </c>
      <c r="F77" s="4">
        <f>ROUND(Source!AX70,O77)</f>
        <v>0</v>
      </c>
      <c r="G77" s="4" t="s">
        <v>126</v>
      </c>
      <c r="H77" s="4" t="s">
        <v>127</v>
      </c>
      <c r="I77" s="4"/>
      <c r="J77" s="4"/>
      <c r="K77" s="4">
        <v>227</v>
      </c>
      <c r="L77" s="4">
        <v>6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06" x14ac:dyDescent="0.25">
      <c r="A78" s="4">
        <v>50</v>
      </c>
      <c r="B78" s="4">
        <v>0</v>
      </c>
      <c r="C78" s="4">
        <v>0</v>
      </c>
      <c r="D78" s="4">
        <v>1</v>
      </c>
      <c r="E78" s="4">
        <v>228</v>
      </c>
      <c r="F78" s="4">
        <f>ROUND(Source!AY70,O78)</f>
        <v>14573.27</v>
      </c>
      <c r="G78" s="4" t="s">
        <v>128</v>
      </c>
      <c r="H78" s="4" t="s">
        <v>129</v>
      </c>
      <c r="I78" s="4"/>
      <c r="J78" s="4"/>
      <c r="K78" s="4">
        <v>228</v>
      </c>
      <c r="L78" s="4">
        <v>7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06" x14ac:dyDescent="0.25">
      <c r="A79" s="4">
        <v>50</v>
      </c>
      <c r="B79" s="4">
        <v>0</v>
      </c>
      <c r="C79" s="4">
        <v>0</v>
      </c>
      <c r="D79" s="4">
        <v>1</v>
      </c>
      <c r="E79" s="4">
        <v>216</v>
      </c>
      <c r="F79" s="4">
        <f>ROUND(Source!AP70,O79)</f>
        <v>0</v>
      </c>
      <c r="G79" s="4" t="s">
        <v>130</v>
      </c>
      <c r="H79" s="4" t="s">
        <v>131</v>
      </c>
      <c r="I79" s="4"/>
      <c r="J79" s="4"/>
      <c r="K79" s="4">
        <v>216</v>
      </c>
      <c r="L79" s="4">
        <v>8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06" x14ac:dyDescent="0.25">
      <c r="A80" s="4">
        <v>50</v>
      </c>
      <c r="B80" s="4">
        <v>0</v>
      </c>
      <c r="C80" s="4">
        <v>0</v>
      </c>
      <c r="D80" s="4">
        <v>1</v>
      </c>
      <c r="E80" s="4">
        <v>223</v>
      </c>
      <c r="F80" s="4">
        <f>ROUND(Source!AQ70,O80)</f>
        <v>0</v>
      </c>
      <c r="G80" s="4" t="s">
        <v>132</v>
      </c>
      <c r="H80" s="4" t="s">
        <v>133</v>
      </c>
      <c r="I80" s="4"/>
      <c r="J80" s="4"/>
      <c r="K80" s="4">
        <v>223</v>
      </c>
      <c r="L80" s="4">
        <v>9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>
        <v>50</v>
      </c>
      <c r="B81" s="4">
        <v>0</v>
      </c>
      <c r="C81" s="4">
        <v>0</v>
      </c>
      <c r="D81" s="4">
        <v>1</v>
      </c>
      <c r="E81" s="4">
        <v>229</v>
      </c>
      <c r="F81" s="4">
        <f>ROUND(Source!AZ70,O81)</f>
        <v>0</v>
      </c>
      <c r="G81" s="4" t="s">
        <v>134</v>
      </c>
      <c r="H81" s="4" t="s">
        <v>135</v>
      </c>
      <c r="I81" s="4"/>
      <c r="J81" s="4"/>
      <c r="K81" s="4">
        <v>229</v>
      </c>
      <c r="L81" s="4">
        <v>10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>
        <v>50</v>
      </c>
      <c r="B82" s="4">
        <v>0</v>
      </c>
      <c r="C82" s="4">
        <v>0</v>
      </c>
      <c r="D82" s="4">
        <v>1</v>
      </c>
      <c r="E82" s="4">
        <v>203</v>
      </c>
      <c r="F82" s="4">
        <f>ROUND(Source!Q70,O82)</f>
        <v>303.73</v>
      </c>
      <c r="G82" s="4" t="s">
        <v>136</v>
      </c>
      <c r="H82" s="4" t="s">
        <v>137</v>
      </c>
      <c r="I82" s="4"/>
      <c r="J82" s="4"/>
      <c r="K82" s="4">
        <v>203</v>
      </c>
      <c r="L82" s="4">
        <v>11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>
        <v>50</v>
      </c>
      <c r="B83" s="4">
        <v>0</v>
      </c>
      <c r="C83" s="4">
        <v>0</v>
      </c>
      <c r="D83" s="4">
        <v>1</v>
      </c>
      <c r="E83" s="4">
        <v>231</v>
      </c>
      <c r="F83" s="4">
        <f>ROUND(Source!BB70,O83)</f>
        <v>0</v>
      </c>
      <c r="G83" s="4" t="s">
        <v>138</v>
      </c>
      <c r="H83" s="4" t="s">
        <v>139</v>
      </c>
      <c r="I83" s="4"/>
      <c r="J83" s="4"/>
      <c r="K83" s="4">
        <v>231</v>
      </c>
      <c r="L83" s="4">
        <v>12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>
        <v>50</v>
      </c>
      <c r="B84" s="4">
        <v>0</v>
      </c>
      <c r="C84" s="4">
        <v>0</v>
      </c>
      <c r="D84" s="4">
        <v>1</v>
      </c>
      <c r="E84" s="4">
        <v>204</v>
      </c>
      <c r="F84" s="4">
        <f>ROUND(Source!R70,O84)</f>
        <v>132.18</v>
      </c>
      <c r="G84" s="4" t="s">
        <v>140</v>
      </c>
      <c r="H84" s="4" t="s">
        <v>141</v>
      </c>
      <c r="I84" s="4"/>
      <c r="J84" s="4"/>
      <c r="K84" s="4">
        <v>204</v>
      </c>
      <c r="L84" s="4">
        <v>13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>
        <v>50</v>
      </c>
      <c r="B85" s="4">
        <v>0</v>
      </c>
      <c r="C85" s="4">
        <v>0</v>
      </c>
      <c r="D85" s="4">
        <v>1</v>
      </c>
      <c r="E85" s="4">
        <v>205</v>
      </c>
      <c r="F85" s="4">
        <f>ROUND(Source!S70,O85)</f>
        <v>41043.21</v>
      </c>
      <c r="G85" s="4" t="s">
        <v>142</v>
      </c>
      <c r="H85" s="4" t="s">
        <v>143</v>
      </c>
      <c r="I85" s="4"/>
      <c r="J85" s="4"/>
      <c r="K85" s="4">
        <v>205</v>
      </c>
      <c r="L85" s="4">
        <v>14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>
        <v>50</v>
      </c>
      <c r="B86" s="4">
        <v>0</v>
      </c>
      <c r="C86" s="4">
        <v>0</v>
      </c>
      <c r="D86" s="4">
        <v>1</v>
      </c>
      <c r="E86" s="4">
        <v>232</v>
      </c>
      <c r="F86" s="4">
        <f>ROUND(Source!BC70,O86)</f>
        <v>0</v>
      </c>
      <c r="G86" s="4" t="s">
        <v>144</v>
      </c>
      <c r="H86" s="4" t="s">
        <v>145</v>
      </c>
      <c r="I86" s="4"/>
      <c r="J86" s="4"/>
      <c r="K86" s="4">
        <v>232</v>
      </c>
      <c r="L86" s="4">
        <v>15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>
        <v>50</v>
      </c>
      <c r="B87" s="4">
        <v>0</v>
      </c>
      <c r="C87" s="4">
        <v>0</v>
      </c>
      <c r="D87" s="4">
        <v>1</v>
      </c>
      <c r="E87" s="4">
        <v>214</v>
      </c>
      <c r="F87" s="4">
        <f>ROUND(Source!AS70,O87)</f>
        <v>104205.9</v>
      </c>
      <c r="G87" s="4" t="s">
        <v>146</v>
      </c>
      <c r="H87" s="4" t="s">
        <v>147</v>
      </c>
      <c r="I87" s="4"/>
      <c r="J87" s="4"/>
      <c r="K87" s="4">
        <v>214</v>
      </c>
      <c r="L87" s="4">
        <v>16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>
        <v>50</v>
      </c>
      <c r="B88" s="4">
        <v>0</v>
      </c>
      <c r="C88" s="4">
        <v>0</v>
      </c>
      <c r="D88" s="4">
        <v>1</v>
      </c>
      <c r="E88" s="4">
        <v>215</v>
      </c>
      <c r="F88" s="4">
        <f>ROUND(Source!AT70,O88)</f>
        <v>0</v>
      </c>
      <c r="G88" s="4" t="s">
        <v>148</v>
      </c>
      <c r="H88" s="4" t="s">
        <v>149</v>
      </c>
      <c r="I88" s="4"/>
      <c r="J88" s="4"/>
      <c r="K88" s="4">
        <v>215</v>
      </c>
      <c r="L88" s="4">
        <v>17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>
        <v>50</v>
      </c>
      <c r="B89" s="4">
        <v>0</v>
      </c>
      <c r="C89" s="4">
        <v>0</v>
      </c>
      <c r="D89" s="4">
        <v>1</v>
      </c>
      <c r="E89" s="4">
        <v>217</v>
      </c>
      <c r="F89" s="4">
        <f>ROUND(Source!AU70,O89)</f>
        <v>0</v>
      </c>
      <c r="G89" s="4" t="s">
        <v>150</v>
      </c>
      <c r="H89" s="4" t="s">
        <v>151</v>
      </c>
      <c r="I89" s="4"/>
      <c r="J89" s="4"/>
      <c r="K89" s="4">
        <v>217</v>
      </c>
      <c r="L89" s="4">
        <v>18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>
        <v>50</v>
      </c>
      <c r="B90" s="4">
        <v>0</v>
      </c>
      <c r="C90" s="4">
        <v>0</v>
      </c>
      <c r="D90" s="4">
        <v>1</v>
      </c>
      <c r="E90" s="4">
        <v>230</v>
      </c>
      <c r="F90" s="4">
        <f>ROUND(Source!BA70,O90)</f>
        <v>0</v>
      </c>
      <c r="G90" s="4" t="s">
        <v>152</v>
      </c>
      <c r="H90" s="4" t="s">
        <v>153</v>
      </c>
      <c r="I90" s="4"/>
      <c r="J90" s="4"/>
      <c r="K90" s="4">
        <v>230</v>
      </c>
      <c r="L90" s="4">
        <v>19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>
        <v>50</v>
      </c>
      <c r="B91" s="4">
        <v>0</v>
      </c>
      <c r="C91" s="4">
        <v>0</v>
      </c>
      <c r="D91" s="4">
        <v>1</v>
      </c>
      <c r="E91" s="4">
        <v>206</v>
      </c>
      <c r="F91" s="4">
        <f>ROUND(Source!T70,O91)</f>
        <v>0</v>
      </c>
      <c r="G91" s="4" t="s">
        <v>154</v>
      </c>
      <c r="H91" s="4" t="s">
        <v>155</v>
      </c>
      <c r="I91" s="4"/>
      <c r="J91" s="4"/>
      <c r="K91" s="4">
        <v>206</v>
      </c>
      <c r="L91" s="4">
        <v>20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4">
        <v>50</v>
      </c>
      <c r="B92" s="4">
        <v>0</v>
      </c>
      <c r="C92" s="4">
        <v>0</v>
      </c>
      <c r="D92" s="4">
        <v>1</v>
      </c>
      <c r="E92" s="4">
        <v>207</v>
      </c>
      <c r="F92" s="4">
        <f>Source!U70</f>
        <v>167.21151350540001</v>
      </c>
      <c r="G92" s="4" t="s">
        <v>156</v>
      </c>
      <c r="H92" s="4" t="s">
        <v>157</v>
      </c>
      <c r="I92" s="4"/>
      <c r="J92" s="4"/>
      <c r="K92" s="4">
        <v>207</v>
      </c>
      <c r="L92" s="4">
        <v>21</v>
      </c>
      <c r="M92" s="4">
        <v>3</v>
      </c>
      <c r="N92" s="4" t="s">
        <v>3</v>
      </c>
      <c r="O92" s="4">
        <v>-1</v>
      </c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4">
        <v>50</v>
      </c>
      <c r="B93" s="4">
        <v>0</v>
      </c>
      <c r="C93" s="4">
        <v>0</v>
      </c>
      <c r="D93" s="4">
        <v>1</v>
      </c>
      <c r="E93" s="4">
        <v>208</v>
      </c>
      <c r="F93" s="4">
        <f>Source!V70</f>
        <v>0</v>
      </c>
      <c r="G93" s="4" t="s">
        <v>158</v>
      </c>
      <c r="H93" s="4" t="s">
        <v>159</v>
      </c>
      <c r="I93" s="4"/>
      <c r="J93" s="4"/>
      <c r="K93" s="4">
        <v>208</v>
      </c>
      <c r="L93" s="4">
        <v>22</v>
      </c>
      <c r="M93" s="4">
        <v>3</v>
      </c>
      <c r="N93" s="4" t="s">
        <v>3</v>
      </c>
      <c r="O93" s="4">
        <v>-1</v>
      </c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4">
        <v>50</v>
      </c>
      <c r="B94" s="4">
        <v>0</v>
      </c>
      <c r="C94" s="4">
        <v>0</v>
      </c>
      <c r="D94" s="4">
        <v>1</v>
      </c>
      <c r="E94" s="4">
        <v>209</v>
      </c>
      <c r="F94" s="4">
        <f>ROUND(Source!W70,O94)</f>
        <v>0</v>
      </c>
      <c r="G94" s="4" t="s">
        <v>160</v>
      </c>
      <c r="H94" s="4" t="s">
        <v>161</v>
      </c>
      <c r="I94" s="4"/>
      <c r="J94" s="4"/>
      <c r="K94" s="4">
        <v>209</v>
      </c>
      <c r="L94" s="4">
        <v>23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4">
        <v>50</v>
      </c>
      <c r="B95" s="4">
        <v>0</v>
      </c>
      <c r="C95" s="4">
        <v>0</v>
      </c>
      <c r="D95" s="4">
        <v>1</v>
      </c>
      <c r="E95" s="4">
        <v>210</v>
      </c>
      <c r="F95" s="4">
        <f>ROUND(Source!X70,O95)</f>
        <v>31006.85</v>
      </c>
      <c r="G95" s="4" t="s">
        <v>162</v>
      </c>
      <c r="H95" s="4" t="s">
        <v>163</v>
      </c>
      <c r="I95" s="4"/>
      <c r="J95" s="4"/>
      <c r="K95" s="4">
        <v>210</v>
      </c>
      <c r="L95" s="4">
        <v>24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4">
        <v>50</v>
      </c>
      <c r="B96" s="4">
        <v>0</v>
      </c>
      <c r="C96" s="4">
        <v>0</v>
      </c>
      <c r="D96" s="4">
        <v>1</v>
      </c>
      <c r="E96" s="4">
        <v>211</v>
      </c>
      <c r="F96" s="4">
        <f>ROUND(Source!Y70,O96)</f>
        <v>17071.330000000002</v>
      </c>
      <c r="G96" s="4" t="s">
        <v>164</v>
      </c>
      <c r="H96" s="4" t="s">
        <v>165</v>
      </c>
      <c r="I96" s="4"/>
      <c r="J96" s="4"/>
      <c r="K96" s="4">
        <v>211</v>
      </c>
      <c r="L96" s="4">
        <v>25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7" x14ac:dyDescent="0.25">
      <c r="A97" s="4">
        <v>50</v>
      </c>
      <c r="B97" s="4">
        <v>0</v>
      </c>
      <c r="C97" s="4">
        <v>0</v>
      </c>
      <c r="D97" s="4">
        <v>1</v>
      </c>
      <c r="E97" s="4">
        <v>224</v>
      </c>
      <c r="F97" s="4">
        <f>ROUND(Source!AR70,O97)</f>
        <v>104205.9</v>
      </c>
      <c r="G97" s="4" t="s">
        <v>166</v>
      </c>
      <c r="H97" s="4" t="s">
        <v>167</v>
      </c>
      <c r="I97" s="4"/>
      <c r="J97" s="4"/>
      <c r="K97" s="4">
        <v>224</v>
      </c>
      <c r="L97" s="4">
        <v>26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7" x14ac:dyDescent="0.25">
      <c r="A98" s="4">
        <v>50</v>
      </c>
      <c r="B98" s="4">
        <v>1</v>
      </c>
      <c r="C98" s="4">
        <v>0</v>
      </c>
      <c r="D98" s="4">
        <v>2</v>
      </c>
      <c r="E98" s="4">
        <v>0</v>
      </c>
      <c r="F98" s="4">
        <f>ROUND(F97,O98)</f>
        <v>104205.9</v>
      </c>
      <c r="G98" s="4" t="s">
        <v>168</v>
      </c>
      <c r="H98" s="4" t="s">
        <v>168</v>
      </c>
      <c r="I98" s="4"/>
      <c r="J98" s="4"/>
      <c r="K98" s="4">
        <v>212</v>
      </c>
      <c r="L98" s="4">
        <v>27</v>
      </c>
      <c r="M98" s="4">
        <v>0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7" x14ac:dyDescent="0.25">
      <c r="A99" s="4">
        <v>50</v>
      </c>
      <c r="B99" s="4">
        <v>1</v>
      </c>
      <c r="C99" s="4">
        <v>0</v>
      </c>
      <c r="D99" s="4">
        <v>2</v>
      </c>
      <c r="E99" s="4">
        <v>0</v>
      </c>
      <c r="F99" s="4">
        <f>ROUND(F98*0.2,O99)</f>
        <v>20841.18</v>
      </c>
      <c r="G99" s="4" t="s">
        <v>169</v>
      </c>
      <c r="H99" s="4" t="s">
        <v>170</v>
      </c>
      <c r="I99" s="4"/>
      <c r="J99" s="4"/>
      <c r="K99" s="4">
        <v>212</v>
      </c>
      <c r="L99" s="4">
        <v>28</v>
      </c>
      <c r="M99" s="4">
        <v>0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7" x14ac:dyDescent="0.25">
      <c r="A100" s="4">
        <v>50</v>
      </c>
      <c r="B100" s="4">
        <v>1</v>
      </c>
      <c r="C100" s="4">
        <v>0</v>
      </c>
      <c r="D100" s="4">
        <v>2</v>
      </c>
      <c r="E100" s="4">
        <v>213</v>
      </c>
      <c r="F100" s="4">
        <f>ROUND(ROUND(F98+F99,2),O100)</f>
        <v>125047.08</v>
      </c>
      <c r="G100" s="4" t="s">
        <v>171</v>
      </c>
      <c r="H100" s="4" t="s">
        <v>171</v>
      </c>
      <c r="I100" s="4"/>
      <c r="J100" s="4"/>
      <c r="K100" s="4">
        <v>212</v>
      </c>
      <c r="L100" s="4">
        <v>29</v>
      </c>
      <c r="M100" s="4">
        <v>0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3" spans="1:27" x14ac:dyDescent="0.25">
      <c r="A103">
        <v>-1</v>
      </c>
    </row>
    <row r="105" spans="1:27" x14ac:dyDescent="0.25">
      <c r="A105" s="3">
        <v>75</v>
      </c>
      <c r="B105" s="3" t="s">
        <v>172</v>
      </c>
      <c r="C105" s="3">
        <v>2020</v>
      </c>
      <c r="D105" s="3">
        <v>0</v>
      </c>
      <c r="E105" s="3">
        <v>9</v>
      </c>
      <c r="F105" s="3"/>
      <c r="G105" s="3">
        <v>0</v>
      </c>
      <c r="H105" s="3">
        <v>2</v>
      </c>
      <c r="I105" s="3">
        <v>1</v>
      </c>
      <c r="J105" s="3">
        <v>1</v>
      </c>
      <c r="K105" s="3">
        <v>93</v>
      </c>
      <c r="L105" s="3">
        <v>64</v>
      </c>
      <c r="M105" s="3">
        <v>0</v>
      </c>
      <c r="N105" s="3">
        <v>23231056</v>
      </c>
      <c r="O105" s="3">
        <v>1</v>
      </c>
    </row>
    <row r="106" spans="1:27" x14ac:dyDescent="0.25">
      <c r="A106" s="5">
        <v>1</v>
      </c>
      <c r="B106" s="5" t="s">
        <v>173</v>
      </c>
      <c r="C106" s="5" t="s">
        <v>174</v>
      </c>
      <c r="D106" s="5">
        <v>2020</v>
      </c>
      <c r="E106" s="5">
        <v>9</v>
      </c>
      <c r="F106" s="5">
        <v>1</v>
      </c>
      <c r="G106" s="5">
        <v>1</v>
      </c>
      <c r="H106" s="5">
        <v>0</v>
      </c>
      <c r="I106" s="5">
        <v>2</v>
      </c>
      <c r="J106" s="5">
        <v>1</v>
      </c>
      <c r="K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1</v>
      </c>
      <c r="Q106" s="5">
        <v>1</v>
      </c>
      <c r="R106" s="5" t="s">
        <v>3</v>
      </c>
      <c r="S106" s="5" t="s">
        <v>3</v>
      </c>
      <c r="T106" s="5" t="s">
        <v>3</v>
      </c>
      <c r="U106" s="5" t="s">
        <v>3</v>
      </c>
      <c r="V106" s="5" t="s">
        <v>3</v>
      </c>
      <c r="W106" s="5" t="s">
        <v>3</v>
      </c>
      <c r="X106" s="5" t="s">
        <v>3</v>
      </c>
      <c r="Y106" s="5" t="s">
        <v>3</v>
      </c>
      <c r="Z106" s="5" t="s">
        <v>3</v>
      </c>
      <c r="AA106" s="5" t="s">
        <v>175</v>
      </c>
    </row>
    <row r="110" spans="1:27" x14ac:dyDescent="0.25">
      <c r="A110">
        <v>65</v>
      </c>
      <c r="C110">
        <v>1</v>
      </c>
      <c r="D110">
        <v>0</v>
      </c>
      <c r="E11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176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5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5">
      <c r="A14" s="1">
        <v>22</v>
      </c>
      <c r="B14" s="1">
        <v>0</v>
      </c>
      <c r="C14" s="1">
        <v>0</v>
      </c>
      <c r="D14" s="1">
        <v>23231056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5">
      <c r="A16" s="6">
        <v>3</v>
      </c>
      <c r="B16" s="6">
        <v>1</v>
      </c>
      <c r="C16" s="6" t="s">
        <v>19</v>
      </c>
      <c r="D16" s="6" t="s">
        <v>20</v>
      </c>
      <c r="E16" s="7">
        <f>(Source!F58)/1000</f>
        <v>104.2059</v>
      </c>
      <c r="F16" s="7">
        <f>(Source!F59)/1000</f>
        <v>0</v>
      </c>
      <c r="G16" s="7">
        <f>(Source!F50)/1000</f>
        <v>0</v>
      </c>
      <c r="H16" s="7">
        <f>(Source!F60)/1000+(Source!F61)/1000</f>
        <v>0</v>
      </c>
      <c r="I16" s="7">
        <f>E16+F16+G16+H16</f>
        <v>104.2059</v>
      </c>
      <c r="J16" s="7">
        <f>(Source!F56)/1000</f>
        <v>41.043210000000002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55920.21</v>
      </c>
      <c r="AU16" s="7">
        <v>14573.27</v>
      </c>
      <c r="AV16" s="7">
        <v>0</v>
      </c>
      <c r="AW16" s="7">
        <v>0</v>
      </c>
      <c r="AX16" s="7">
        <v>0</v>
      </c>
      <c r="AY16" s="7">
        <v>303.73</v>
      </c>
      <c r="AZ16" s="7">
        <v>132.18</v>
      </c>
      <c r="BA16" s="7">
        <v>41043.21</v>
      </c>
      <c r="BB16" s="7">
        <v>104205.9</v>
      </c>
      <c r="BC16" s="7">
        <v>0</v>
      </c>
      <c r="BD16" s="7">
        <v>0</v>
      </c>
      <c r="BE16" s="7">
        <v>0</v>
      </c>
      <c r="BF16" s="7">
        <v>167.21151350540001</v>
      </c>
      <c r="BG16" s="7">
        <v>0</v>
      </c>
      <c r="BH16" s="7">
        <v>0</v>
      </c>
      <c r="BI16" s="7">
        <v>31006.85</v>
      </c>
      <c r="BJ16" s="7">
        <v>17071.330000000002</v>
      </c>
      <c r="BK16" s="7">
        <v>104205.9</v>
      </c>
    </row>
    <row r="18" spans="1:19" x14ac:dyDescent="0.25">
      <c r="A18">
        <v>51</v>
      </c>
      <c r="E18" s="8">
        <f>SUMIF(A16:A17,3,E16:E17)</f>
        <v>104.2059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104.2059</v>
      </c>
      <c r="J18" s="8">
        <f>SUMIF(A16:A17,3,J16:J17)</f>
        <v>41.043210000000002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55920.21</v>
      </c>
      <c r="G20" s="4" t="s">
        <v>116</v>
      </c>
      <c r="H20" s="4" t="s">
        <v>117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14573.27</v>
      </c>
      <c r="G21" s="4" t="s">
        <v>118</v>
      </c>
      <c r="H21" s="4" t="s">
        <v>119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120</v>
      </c>
      <c r="H22" s="4" t="s">
        <v>121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14573.27</v>
      </c>
      <c r="G23" s="4" t="s">
        <v>122</v>
      </c>
      <c r="H23" s="4" t="s">
        <v>123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14573.27</v>
      </c>
      <c r="G24" s="4" t="s">
        <v>124</v>
      </c>
      <c r="H24" s="4" t="s">
        <v>125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126</v>
      </c>
      <c r="H25" s="4" t="s">
        <v>127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14573.27</v>
      </c>
      <c r="G26" s="4" t="s">
        <v>128</v>
      </c>
      <c r="H26" s="4" t="s">
        <v>129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130</v>
      </c>
      <c r="H27" s="4" t="s">
        <v>131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132</v>
      </c>
      <c r="H28" s="4" t="s">
        <v>133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134</v>
      </c>
      <c r="H29" s="4" t="s">
        <v>135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303.73</v>
      </c>
      <c r="G30" s="4" t="s">
        <v>136</v>
      </c>
      <c r="H30" s="4" t="s">
        <v>137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138</v>
      </c>
      <c r="H31" s="4" t="s">
        <v>139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132.18</v>
      </c>
      <c r="G32" s="4" t="s">
        <v>140</v>
      </c>
      <c r="H32" s="4" t="s">
        <v>141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41043.21</v>
      </c>
      <c r="G33" s="4" t="s">
        <v>142</v>
      </c>
      <c r="H33" s="4" t="s">
        <v>143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144</v>
      </c>
      <c r="H34" s="4" t="s">
        <v>145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104205.9</v>
      </c>
      <c r="G35" s="4" t="s">
        <v>146</v>
      </c>
      <c r="H35" s="4" t="s">
        <v>147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148</v>
      </c>
      <c r="H36" s="4" t="s">
        <v>149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150</v>
      </c>
      <c r="H37" s="4" t="s">
        <v>151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152</v>
      </c>
      <c r="H38" s="4" t="s">
        <v>153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154</v>
      </c>
      <c r="H39" s="4" t="s">
        <v>155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167.21151350540001</v>
      </c>
      <c r="G40" s="4" t="s">
        <v>156</v>
      </c>
      <c r="H40" s="4" t="s">
        <v>157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158</v>
      </c>
      <c r="H41" s="4" t="s">
        <v>159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160</v>
      </c>
      <c r="H42" s="4" t="s">
        <v>161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5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31006.85</v>
      </c>
      <c r="G43" s="4" t="s">
        <v>162</v>
      </c>
      <c r="H43" s="4" t="s">
        <v>163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5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17071.330000000002</v>
      </c>
      <c r="G44" s="4" t="s">
        <v>164</v>
      </c>
      <c r="H44" s="4" t="s">
        <v>165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5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104205.9</v>
      </c>
      <c r="G45" s="4" t="s">
        <v>166</v>
      </c>
      <c r="H45" s="4" t="s">
        <v>167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104205.9</v>
      </c>
      <c r="G46" s="4" t="s">
        <v>168</v>
      </c>
      <c r="H46" s="4" t="s">
        <v>168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20841.18</v>
      </c>
      <c r="G47" s="4" t="s">
        <v>169</v>
      </c>
      <c r="H47" s="4" t="s">
        <v>170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5">
      <c r="A48" s="4">
        <v>50</v>
      </c>
      <c r="B48" s="4">
        <v>1</v>
      </c>
      <c r="C48" s="4">
        <v>0</v>
      </c>
      <c r="D48" s="4">
        <v>2</v>
      </c>
      <c r="E48" s="4">
        <v>213</v>
      </c>
      <c r="F48" s="4">
        <v>125047.08</v>
      </c>
      <c r="G48" s="4" t="s">
        <v>171</v>
      </c>
      <c r="H48" s="4" t="s">
        <v>171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5">
      <c r="A50">
        <v>-1</v>
      </c>
    </row>
    <row r="53" spans="1:27" x14ac:dyDescent="0.25">
      <c r="A53" s="3">
        <v>75</v>
      </c>
      <c r="B53" s="3" t="s">
        <v>172</v>
      </c>
      <c r="C53" s="3">
        <v>2020</v>
      </c>
      <c r="D53" s="3">
        <v>0</v>
      </c>
      <c r="E53" s="3">
        <v>9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23231056</v>
      </c>
      <c r="O53" s="3">
        <v>1</v>
      </c>
    </row>
    <row r="54" spans="1:27" x14ac:dyDescent="0.25">
      <c r="A54" s="5">
        <v>1</v>
      </c>
      <c r="B54" s="5" t="s">
        <v>173</v>
      </c>
      <c r="C54" s="5" t="s">
        <v>174</v>
      </c>
      <c r="D54" s="5">
        <v>2020</v>
      </c>
      <c r="E54" s="5">
        <v>9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175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4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07" x14ac:dyDescent="0.25">
      <c r="A1">
        <f>ROW(Source!A24)</f>
        <v>24</v>
      </c>
      <c r="B1">
        <v>23231056</v>
      </c>
      <c r="C1">
        <v>23231347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177</v>
      </c>
      <c r="J1" t="s">
        <v>3</v>
      </c>
      <c r="K1" t="s">
        <v>178</v>
      </c>
      <c r="L1">
        <v>1191</v>
      </c>
      <c r="N1">
        <v>1013</v>
      </c>
      <c r="O1" t="s">
        <v>179</v>
      </c>
      <c r="P1" t="s">
        <v>179</v>
      </c>
      <c r="Q1">
        <v>1</v>
      </c>
      <c r="W1">
        <v>0</v>
      </c>
      <c r="X1">
        <v>946207192</v>
      </c>
      <c r="Y1">
        <v>193.75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155</v>
      </c>
      <c r="AU1" t="s">
        <v>27</v>
      </c>
      <c r="AV1">
        <v>1</v>
      </c>
      <c r="AW1">
        <v>2</v>
      </c>
      <c r="AX1">
        <v>23231348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0.23249999999999998</v>
      </c>
      <c r="CY1">
        <f>AD1</f>
        <v>0</v>
      </c>
      <c r="CZ1">
        <f>AH1</f>
        <v>0</v>
      </c>
      <c r="DA1">
        <f>AL1</f>
        <v>1</v>
      </c>
      <c r="DB1">
        <f>ROUND((ROUND(AT1*CZ1,2)*1.25),6)</f>
        <v>0</v>
      </c>
      <c r="DC1">
        <f>ROUND((ROUND(AT1*AG1,2)*1.25),6)</f>
        <v>0</v>
      </c>
    </row>
    <row r="2" spans="1:107" x14ac:dyDescent="0.25">
      <c r="A2">
        <f>ROW(Source!A24)</f>
        <v>24</v>
      </c>
      <c r="B2">
        <v>23231056</v>
      </c>
      <c r="C2">
        <v>23231347</v>
      </c>
      <c r="D2">
        <v>16808045</v>
      </c>
      <c r="E2">
        <v>16804826</v>
      </c>
      <c r="F2">
        <v>1</v>
      </c>
      <c r="G2">
        <v>16804826</v>
      </c>
      <c r="H2">
        <v>2</v>
      </c>
      <c r="I2" t="s">
        <v>180</v>
      </c>
      <c r="J2" t="s">
        <v>3</v>
      </c>
      <c r="K2" t="s">
        <v>181</v>
      </c>
      <c r="L2">
        <v>1344</v>
      </c>
      <c r="N2">
        <v>1008</v>
      </c>
      <c r="O2" t="s">
        <v>182</v>
      </c>
      <c r="P2" t="s">
        <v>182</v>
      </c>
      <c r="Q2">
        <v>1</v>
      </c>
      <c r="W2">
        <v>0</v>
      </c>
      <c r="X2">
        <v>-450565604</v>
      </c>
      <c r="Y2">
        <v>4.6500000000000004</v>
      </c>
      <c r="AA2">
        <v>0</v>
      </c>
      <c r="AB2">
        <v>1.05</v>
      </c>
      <c r="AC2">
        <v>0</v>
      </c>
      <c r="AD2">
        <v>0</v>
      </c>
      <c r="AE2">
        <v>0</v>
      </c>
      <c r="AF2">
        <v>1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3.72</v>
      </c>
      <c r="AU2" t="s">
        <v>27</v>
      </c>
      <c r="AV2">
        <v>0</v>
      </c>
      <c r="AW2">
        <v>2</v>
      </c>
      <c r="AX2">
        <v>23231352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5.5799999999999999E-3</v>
      </c>
      <c r="CY2">
        <f>AB2</f>
        <v>1.05</v>
      </c>
      <c r="CZ2">
        <f>AF2</f>
        <v>1</v>
      </c>
      <c r="DA2">
        <f>AJ2</f>
        <v>1</v>
      </c>
      <c r="DB2">
        <f>ROUND((ROUND(AT2*CZ2,2)*1.25),6)</f>
        <v>4.6500000000000004</v>
      </c>
      <c r="DC2">
        <f>ROUND((ROUND(AT2*AG2,2)*1.25),6)</f>
        <v>0</v>
      </c>
    </row>
    <row r="3" spans="1:107" x14ac:dyDescent="0.25">
      <c r="A3">
        <f>ROW(Source!A24)</f>
        <v>24</v>
      </c>
      <c r="B3">
        <v>23231056</v>
      </c>
      <c r="C3">
        <v>23231347</v>
      </c>
      <c r="D3">
        <v>16945374</v>
      </c>
      <c r="E3">
        <v>1</v>
      </c>
      <c r="F3">
        <v>1</v>
      </c>
      <c r="G3">
        <v>16804826</v>
      </c>
      <c r="H3">
        <v>2</v>
      </c>
      <c r="I3" t="s">
        <v>183</v>
      </c>
      <c r="J3" t="s">
        <v>184</v>
      </c>
      <c r="K3" t="s">
        <v>185</v>
      </c>
      <c r="L3">
        <v>1368</v>
      </c>
      <c r="N3">
        <v>1011</v>
      </c>
      <c r="O3" t="s">
        <v>186</v>
      </c>
      <c r="P3" t="s">
        <v>186</v>
      </c>
      <c r="Q3">
        <v>1</v>
      </c>
      <c r="W3">
        <v>0</v>
      </c>
      <c r="X3">
        <v>-353814154</v>
      </c>
      <c r="Y3">
        <v>46.875</v>
      </c>
      <c r="AA3">
        <v>0</v>
      </c>
      <c r="AB3">
        <v>770.51</v>
      </c>
      <c r="AC3">
        <v>474.62</v>
      </c>
      <c r="AD3">
        <v>0</v>
      </c>
      <c r="AE3">
        <v>0</v>
      </c>
      <c r="AF3">
        <v>60.77</v>
      </c>
      <c r="AG3">
        <v>18.48</v>
      </c>
      <c r="AH3">
        <v>0</v>
      </c>
      <c r="AI3">
        <v>1</v>
      </c>
      <c r="AJ3">
        <v>12.11</v>
      </c>
      <c r="AK3">
        <v>24.53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37.5</v>
      </c>
      <c r="AU3" t="s">
        <v>27</v>
      </c>
      <c r="AV3">
        <v>0</v>
      </c>
      <c r="AW3">
        <v>2</v>
      </c>
      <c r="AX3">
        <v>23231349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5.6249999999999994E-2</v>
      </c>
      <c r="CY3">
        <f>AB3</f>
        <v>770.51</v>
      </c>
      <c r="CZ3">
        <f>AF3</f>
        <v>60.77</v>
      </c>
      <c r="DA3">
        <f>AJ3</f>
        <v>12.11</v>
      </c>
      <c r="DB3">
        <f>ROUND((ROUND(AT3*CZ3,2)*1.25),6)</f>
        <v>2848.6</v>
      </c>
      <c r="DC3">
        <f>ROUND((ROUND(AT3*AG3,2)*1.25),6)</f>
        <v>866.25</v>
      </c>
    </row>
    <row r="4" spans="1:107" x14ac:dyDescent="0.25">
      <c r="A4">
        <f>ROW(Source!A24)</f>
        <v>24</v>
      </c>
      <c r="B4">
        <v>23231056</v>
      </c>
      <c r="C4">
        <v>23231347</v>
      </c>
      <c r="D4">
        <v>16945813</v>
      </c>
      <c r="E4">
        <v>1</v>
      </c>
      <c r="F4">
        <v>1</v>
      </c>
      <c r="G4">
        <v>16804826</v>
      </c>
      <c r="H4">
        <v>2</v>
      </c>
      <c r="I4" t="s">
        <v>187</v>
      </c>
      <c r="J4" t="s">
        <v>188</v>
      </c>
      <c r="K4" t="s">
        <v>189</v>
      </c>
      <c r="L4">
        <v>1368</v>
      </c>
      <c r="N4">
        <v>1011</v>
      </c>
      <c r="O4" t="s">
        <v>186</v>
      </c>
      <c r="P4" t="s">
        <v>186</v>
      </c>
      <c r="Q4">
        <v>1</v>
      </c>
      <c r="W4">
        <v>0</v>
      </c>
      <c r="X4">
        <v>1080624300</v>
      </c>
      <c r="Y4">
        <v>93.75</v>
      </c>
      <c r="AA4">
        <v>0</v>
      </c>
      <c r="AB4">
        <v>5.49</v>
      </c>
      <c r="AC4">
        <v>1.03</v>
      </c>
      <c r="AD4">
        <v>0</v>
      </c>
      <c r="AE4">
        <v>0</v>
      </c>
      <c r="AF4">
        <v>3.16</v>
      </c>
      <c r="AG4">
        <v>0.04</v>
      </c>
      <c r="AH4">
        <v>0</v>
      </c>
      <c r="AI4">
        <v>1</v>
      </c>
      <c r="AJ4">
        <v>1.66</v>
      </c>
      <c r="AK4">
        <v>24.53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75</v>
      </c>
      <c r="AU4" t="s">
        <v>27</v>
      </c>
      <c r="AV4">
        <v>0</v>
      </c>
      <c r="AW4">
        <v>2</v>
      </c>
      <c r="AX4">
        <v>23231350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0.11249999999999999</v>
      </c>
      <c r="CY4">
        <f>AB4</f>
        <v>5.49</v>
      </c>
      <c r="CZ4">
        <f>AF4</f>
        <v>3.16</v>
      </c>
      <c r="DA4">
        <f>AJ4</f>
        <v>1.66</v>
      </c>
      <c r="DB4">
        <f>ROUND((ROUND(AT4*CZ4,2)*1.25),6)</f>
        <v>296.25</v>
      </c>
      <c r="DC4">
        <f>ROUND((ROUND(AT4*AG4,2)*1.25),6)</f>
        <v>3.75</v>
      </c>
    </row>
    <row r="5" spans="1:107" x14ac:dyDescent="0.25">
      <c r="A5">
        <f>ROW(Source!A24)</f>
        <v>24</v>
      </c>
      <c r="B5">
        <v>23231056</v>
      </c>
      <c r="C5">
        <v>23231347</v>
      </c>
      <c r="D5">
        <v>16945229</v>
      </c>
      <c r="E5">
        <v>1</v>
      </c>
      <c r="F5">
        <v>1</v>
      </c>
      <c r="G5">
        <v>16804826</v>
      </c>
      <c r="H5">
        <v>2</v>
      </c>
      <c r="I5" t="s">
        <v>190</v>
      </c>
      <c r="J5" t="s">
        <v>191</v>
      </c>
      <c r="K5" t="s">
        <v>192</v>
      </c>
      <c r="L5">
        <v>1368</v>
      </c>
      <c r="N5">
        <v>1011</v>
      </c>
      <c r="O5" t="s">
        <v>186</v>
      </c>
      <c r="P5" t="s">
        <v>186</v>
      </c>
      <c r="Q5">
        <v>1</v>
      </c>
      <c r="W5">
        <v>0</v>
      </c>
      <c r="X5">
        <v>36406169</v>
      </c>
      <c r="Y5">
        <v>1.9375</v>
      </c>
      <c r="AA5">
        <v>0</v>
      </c>
      <c r="AB5">
        <v>1488.29</v>
      </c>
      <c r="AC5">
        <v>635.4</v>
      </c>
      <c r="AD5">
        <v>0</v>
      </c>
      <c r="AE5">
        <v>0</v>
      </c>
      <c r="AF5">
        <v>125.13</v>
      </c>
      <c r="AG5">
        <v>24.74</v>
      </c>
      <c r="AH5">
        <v>0</v>
      </c>
      <c r="AI5">
        <v>1</v>
      </c>
      <c r="AJ5">
        <v>11.36</v>
      </c>
      <c r="AK5">
        <v>24.53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1.55</v>
      </c>
      <c r="AU5" t="s">
        <v>27</v>
      </c>
      <c r="AV5">
        <v>0</v>
      </c>
      <c r="AW5">
        <v>2</v>
      </c>
      <c r="AX5">
        <v>23231351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2.3249999999999998E-3</v>
      </c>
      <c r="CY5">
        <f>AB5</f>
        <v>1488.29</v>
      </c>
      <c r="CZ5">
        <f>AF5</f>
        <v>125.13</v>
      </c>
      <c r="DA5">
        <f>AJ5</f>
        <v>11.36</v>
      </c>
      <c r="DB5">
        <f>ROUND((ROUND(AT5*CZ5,2)*1.25),6)</f>
        <v>242.4375</v>
      </c>
      <c r="DC5">
        <f>ROUND((ROUND(AT5*AG5,2)*1.25),6)</f>
        <v>47.9375</v>
      </c>
    </row>
    <row r="6" spans="1:107" x14ac:dyDescent="0.25">
      <c r="A6">
        <f>ROW(Source!A25)</f>
        <v>25</v>
      </c>
      <c r="B6">
        <v>23231056</v>
      </c>
      <c r="C6">
        <v>23231353</v>
      </c>
      <c r="D6">
        <v>16804829</v>
      </c>
      <c r="E6">
        <v>16804826</v>
      </c>
      <c r="F6">
        <v>1</v>
      </c>
      <c r="G6">
        <v>16804826</v>
      </c>
      <c r="H6">
        <v>1</v>
      </c>
      <c r="I6" t="s">
        <v>177</v>
      </c>
      <c r="J6" t="s">
        <v>3</v>
      </c>
      <c r="K6" t="s">
        <v>178</v>
      </c>
      <c r="L6">
        <v>1191</v>
      </c>
      <c r="N6">
        <v>1013</v>
      </c>
      <c r="O6" t="s">
        <v>179</v>
      </c>
      <c r="P6" t="s">
        <v>179</v>
      </c>
      <c r="Q6">
        <v>1</v>
      </c>
      <c r="W6">
        <v>0</v>
      </c>
      <c r="X6">
        <v>946207192</v>
      </c>
      <c r="Y6">
        <v>16.559999999999999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14.4</v>
      </c>
      <c r="AU6" t="s">
        <v>37</v>
      </c>
      <c r="AV6">
        <v>1</v>
      </c>
      <c r="AW6">
        <v>2</v>
      </c>
      <c r="AX6">
        <v>23231362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0.11923199999999999</v>
      </c>
      <c r="CY6">
        <f>AD6</f>
        <v>0</v>
      </c>
      <c r="CZ6">
        <f>AH6</f>
        <v>0</v>
      </c>
      <c r="DA6">
        <f>AL6</f>
        <v>1</v>
      </c>
      <c r="DB6">
        <f t="shared" ref="DB6:DB11" si="0">ROUND((ROUND(AT6*CZ6,2)*1.15),6)</f>
        <v>0</v>
      </c>
      <c r="DC6">
        <f t="shared" ref="DC6:DC11" si="1">ROUND((ROUND(AT6*AG6,2)*1.15),6)</f>
        <v>0</v>
      </c>
    </row>
    <row r="7" spans="1:107" x14ac:dyDescent="0.25">
      <c r="A7">
        <f>ROW(Source!A25)</f>
        <v>25</v>
      </c>
      <c r="B7">
        <v>23231056</v>
      </c>
      <c r="C7">
        <v>23231353</v>
      </c>
      <c r="D7">
        <v>16944987</v>
      </c>
      <c r="E7">
        <v>1</v>
      </c>
      <c r="F7">
        <v>1</v>
      </c>
      <c r="G7">
        <v>16804826</v>
      </c>
      <c r="H7">
        <v>2</v>
      </c>
      <c r="I7" t="s">
        <v>193</v>
      </c>
      <c r="J7" t="s">
        <v>194</v>
      </c>
      <c r="K7" t="s">
        <v>195</v>
      </c>
      <c r="L7">
        <v>1368</v>
      </c>
      <c r="N7">
        <v>1011</v>
      </c>
      <c r="O7" t="s">
        <v>186</v>
      </c>
      <c r="P7" t="s">
        <v>186</v>
      </c>
      <c r="Q7">
        <v>1</v>
      </c>
      <c r="W7">
        <v>0</v>
      </c>
      <c r="X7">
        <v>810095969</v>
      </c>
      <c r="Y7">
        <v>1.9089999999999998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10.38</v>
      </c>
      <c r="AK7">
        <v>24.53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1.66</v>
      </c>
      <c r="AU7" t="s">
        <v>37</v>
      </c>
      <c r="AV7">
        <v>0</v>
      </c>
      <c r="AW7">
        <v>2</v>
      </c>
      <c r="AX7">
        <v>23231363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1.3744799999999998E-2</v>
      </c>
      <c r="CY7">
        <f>AB7</f>
        <v>0</v>
      </c>
      <c r="CZ7">
        <f>AF7</f>
        <v>0</v>
      </c>
      <c r="DA7">
        <f>AJ7</f>
        <v>10.38</v>
      </c>
      <c r="DB7">
        <f t="shared" si="0"/>
        <v>0</v>
      </c>
      <c r="DC7">
        <f t="shared" si="1"/>
        <v>0</v>
      </c>
    </row>
    <row r="8" spans="1:107" x14ac:dyDescent="0.25">
      <c r="A8">
        <f>ROW(Source!A25)</f>
        <v>25</v>
      </c>
      <c r="B8">
        <v>23231056</v>
      </c>
      <c r="C8">
        <v>23231353</v>
      </c>
      <c r="D8">
        <v>16945198</v>
      </c>
      <c r="E8">
        <v>1</v>
      </c>
      <c r="F8">
        <v>1</v>
      </c>
      <c r="G8">
        <v>16804826</v>
      </c>
      <c r="H8">
        <v>2</v>
      </c>
      <c r="I8" t="s">
        <v>196</v>
      </c>
      <c r="J8" t="s">
        <v>197</v>
      </c>
      <c r="K8" t="s">
        <v>198</v>
      </c>
      <c r="L8">
        <v>1368</v>
      </c>
      <c r="N8">
        <v>1011</v>
      </c>
      <c r="O8" t="s">
        <v>186</v>
      </c>
      <c r="P8" t="s">
        <v>186</v>
      </c>
      <c r="Q8">
        <v>1</v>
      </c>
      <c r="W8">
        <v>0</v>
      </c>
      <c r="X8">
        <v>-12113192</v>
      </c>
      <c r="Y8">
        <v>1.9089999999999998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5.7</v>
      </c>
      <c r="AK8">
        <v>24.53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1.66</v>
      </c>
      <c r="AU8" t="s">
        <v>37</v>
      </c>
      <c r="AV8">
        <v>0</v>
      </c>
      <c r="AW8">
        <v>2</v>
      </c>
      <c r="AX8">
        <v>23231364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1.3744799999999998E-2</v>
      </c>
      <c r="CY8">
        <f>AB8</f>
        <v>0</v>
      </c>
      <c r="CZ8">
        <f>AF8</f>
        <v>0</v>
      </c>
      <c r="DA8">
        <f>AJ8</f>
        <v>5.7</v>
      </c>
      <c r="DB8">
        <f t="shared" si="0"/>
        <v>0</v>
      </c>
      <c r="DC8">
        <f t="shared" si="1"/>
        <v>0</v>
      </c>
    </row>
    <row r="9" spans="1:107" x14ac:dyDescent="0.25">
      <c r="A9">
        <f>ROW(Source!A25)</f>
        <v>25</v>
      </c>
      <c r="B9">
        <v>23231056</v>
      </c>
      <c r="C9">
        <v>23231353</v>
      </c>
      <c r="D9">
        <v>16945201</v>
      </c>
      <c r="E9">
        <v>1</v>
      </c>
      <c r="F9">
        <v>1</v>
      </c>
      <c r="G9">
        <v>16804826</v>
      </c>
      <c r="H9">
        <v>2</v>
      </c>
      <c r="I9" t="s">
        <v>199</v>
      </c>
      <c r="J9" t="s">
        <v>200</v>
      </c>
      <c r="K9" t="s">
        <v>201</v>
      </c>
      <c r="L9">
        <v>1368</v>
      </c>
      <c r="N9">
        <v>1011</v>
      </c>
      <c r="O9" t="s">
        <v>186</v>
      </c>
      <c r="P9" t="s">
        <v>186</v>
      </c>
      <c r="Q9">
        <v>1</v>
      </c>
      <c r="W9">
        <v>0</v>
      </c>
      <c r="X9">
        <v>-1774859560</v>
      </c>
      <c r="Y9">
        <v>0.74749999999999994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7.87</v>
      </c>
      <c r="AK9">
        <v>24.53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0.65</v>
      </c>
      <c r="AU9" t="s">
        <v>37</v>
      </c>
      <c r="AV9">
        <v>0</v>
      </c>
      <c r="AW9">
        <v>2</v>
      </c>
      <c r="AX9">
        <v>23231365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5.3819999999999996E-3</v>
      </c>
      <c r="CY9">
        <f>AB9</f>
        <v>0</v>
      </c>
      <c r="CZ9">
        <f>AF9</f>
        <v>0</v>
      </c>
      <c r="DA9">
        <f>AJ9</f>
        <v>7.87</v>
      </c>
      <c r="DB9">
        <f t="shared" si="0"/>
        <v>0</v>
      </c>
      <c r="DC9">
        <f t="shared" si="1"/>
        <v>0</v>
      </c>
    </row>
    <row r="10" spans="1:107" x14ac:dyDescent="0.25">
      <c r="A10">
        <f>ROW(Source!A25)</f>
        <v>25</v>
      </c>
      <c r="B10">
        <v>23231056</v>
      </c>
      <c r="C10">
        <v>23231353</v>
      </c>
      <c r="D10">
        <v>16945229</v>
      </c>
      <c r="E10">
        <v>1</v>
      </c>
      <c r="F10">
        <v>1</v>
      </c>
      <c r="G10">
        <v>16804826</v>
      </c>
      <c r="H10">
        <v>2</v>
      </c>
      <c r="I10" t="s">
        <v>190</v>
      </c>
      <c r="J10" t="s">
        <v>191</v>
      </c>
      <c r="K10" t="s">
        <v>192</v>
      </c>
      <c r="L10">
        <v>1368</v>
      </c>
      <c r="N10">
        <v>1011</v>
      </c>
      <c r="O10" t="s">
        <v>186</v>
      </c>
      <c r="P10" t="s">
        <v>186</v>
      </c>
      <c r="Q10">
        <v>1</v>
      </c>
      <c r="W10">
        <v>0</v>
      </c>
      <c r="X10">
        <v>36406169</v>
      </c>
      <c r="Y10">
        <v>1.7825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11.36</v>
      </c>
      <c r="AK10">
        <v>24.53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1.55</v>
      </c>
      <c r="AU10" t="s">
        <v>37</v>
      </c>
      <c r="AV10">
        <v>0</v>
      </c>
      <c r="AW10">
        <v>2</v>
      </c>
      <c r="AX10">
        <v>23231366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1.2834E-2</v>
      </c>
      <c r="CY10">
        <f>AB10</f>
        <v>0</v>
      </c>
      <c r="CZ10">
        <f>AF10</f>
        <v>0</v>
      </c>
      <c r="DA10">
        <f>AJ10</f>
        <v>11.36</v>
      </c>
      <c r="DB10">
        <f t="shared" si="0"/>
        <v>0</v>
      </c>
      <c r="DC10">
        <f t="shared" si="1"/>
        <v>0</v>
      </c>
    </row>
    <row r="11" spans="1:107" x14ac:dyDescent="0.25">
      <c r="A11">
        <f>ROW(Source!A25)</f>
        <v>25</v>
      </c>
      <c r="B11">
        <v>23231056</v>
      </c>
      <c r="C11">
        <v>23231353</v>
      </c>
      <c r="D11">
        <v>16945191</v>
      </c>
      <c r="E11">
        <v>1</v>
      </c>
      <c r="F11">
        <v>1</v>
      </c>
      <c r="G11">
        <v>16804826</v>
      </c>
      <c r="H11">
        <v>2</v>
      </c>
      <c r="I11" t="s">
        <v>202</v>
      </c>
      <c r="J11" t="s">
        <v>203</v>
      </c>
      <c r="K11" t="s">
        <v>204</v>
      </c>
      <c r="L11">
        <v>1368</v>
      </c>
      <c r="N11">
        <v>1011</v>
      </c>
      <c r="O11" t="s">
        <v>186</v>
      </c>
      <c r="P11" t="s">
        <v>186</v>
      </c>
      <c r="Q11">
        <v>1</v>
      </c>
      <c r="W11">
        <v>0</v>
      </c>
      <c r="X11">
        <v>-729676069</v>
      </c>
      <c r="Y11">
        <v>0.59799999999999998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8.51</v>
      </c>
      <c r="AK11">
        <v>24.53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0.52</v>
      </c>
      <c r="AU11" t="s">
        <v>37</v>
      </c>
      <c r="AV11">
        <v>0</v>
      </c>
      <c r="AW11">
        <v>2</v>
      </c>
      <c r="AX11">
        <v>23231367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4.3055999999999997E-3</v>
      </c>
      <c r="CY11">
        <f>AB11</f>
        <v>0</v>
      </c>
      <c r="CZ11">
        <f>AF11</f>
        <v>0</v>
      </c>
      <c r="DA11">
        <f>AJ11</f>
        <v>8.51</v>
      </c>
      <c r="DB11">
        <f t="shared" si="0"/>
        <v>0</v>
      </c>
      <c r="DC11">
        <f t="shared" si="1"/>
        <v>0</v>
      </c>
    </row>
    <row r="12" spans="1:107" x14ac:dyDescent="0.25">
      <c r="A12">
        <f>ROW(Source!A25)</f>
        <v>25</v>
      </c>
      <c r="B12">
        <v>23231056</v>
      </c>
      <c r="C12">
        <v>23231353</v>
      </c>
      <c r="D12">
        <v>16946353</v>
      </c>
      <c r="E12">
        <v>1</v>
      </c>
      <c r="F12">
        <v>1</v>
      </c>
      <c r="G12">
        <v>16804826</v>
      </c>
      <c r="H12">
        <v>3</v>
      </c>
      <c r="I12" t="s">
        <v>205</v>
      </c>
      <c r="J12" t="s">
        <v>206</v>
      </c>
      <c r="K12" t="s">
        <v>207</v>
      </c>
      <c r="L12">
        <v>1339</v>
      </c>
      <c r="N12">
        <v>1007</v>
      </c>
      <c r="O12" t="s">
        <v>45</v>
      </c>
      <c r="P12" t="s">
        <v>45</v>
      </c>
      <c r="Q12">
        <v>1</v>
      </c>
      <c r="W12">
        <v>0</v>
      </c>
      <c r="X12">
        <v>55300385</v>
      </c>
      <c r="Y12">
        <v>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4.99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5</v>
      </c>
      <c r="AU12" t="s">
        <v>3</v>
      </c>
      <c r="AV12">
        <v>0</v>
      </c>
      <c r="AW12">
        <v>2</v>
      </c>
      <c r="AX12">
        <v>23231368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3.5999999999999997E-2</v>
      </c>
      <c r="CY12">
        <f>AA12</f>
        <v>0</v>
      </c>
      <c r="CZ12">
        <f>AE12</f>
        <v>0</v>
      </c>
      <c r="DA12">
        <f>AI12</f>
        <v>4.99</v>
      </c>
      <c r="DB12">
        <f>ROUND(ROUND(AT12*CZ12,2),6)</f>
        <v>0</v>
      </c>
      <c r="DC12">
        <f>ROUND(ROUND(AT12*AG12,2),6)</f>
        <v>0</v>
      </c>
    </row>
    <row r="13" spans="1:107" x14ac:dyDescent="0.25">
      <c r="A13">
        <f>ROW(Source!A25)</f>
        <v>25</v>
      </c>
      <c r="B13">
        <v>23231056</v>
      </c>
      <c r="C13">
        <v>23231353</v>
      </c>
      <c r="D13">
        <v>16947054</v>
      </c>
      <c r="E13">
        <v>1</v>
      </c>
      <c r="F13">
        <v>1</v>
      </c>
      <c r="G13">
        <v>16804826</v>
      </c>
      <c r="H13">
        <v>3</v>
      </c>
      <c r="I13" t="s">
        <v>43</v>
      </c>
      <c r="J13" t="s">
        <v>46</v>
      </c>
      <c r="K13" t="s">
        <v>44</v>
      </c>
      <c r="L13">
        <v>1339</v>
      </c>
      <c r="N13">
        <v>1007</v>
      </c>
      <c r="O13" t="s">
        <v>45</v>
      </c>
      <c r="P13" t="s">
        <v>45</v>
      </c>
      <c r="Q13">
        <v>1</v>
      </c>
      <c r="W13">
        <v>0</v>
      </c>
      <c r="X13">
        <v>-419971176</v>
      </c>
      <c r="Y13">
        <v>100</v>
      </c>
      <c r="AA13">
        <v>578.6</v>
      </c>
      <c r="AB13">
        <v>0</v>
      </c>
      <c r="AC13">
        <v>0</v>
      </c>
      <c r="AD13">
        <v>0</v>
      </c>
      <c r="AE13">
        <v>104.99</v>
      </c>
      <c r="AF13">
        <v>0</v>
      </c>
      <c r="AG13">
        <v>0</v>
      </c>
      <c r="AH13">
        <v>0</v>
      </c>
      <c r="AI13">
        <v>5.5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3</v>
      </c>
      <c r="AT13">
        <v>100</v>
      </c>
      <c r="AU13" t="s">
        <v>3</v>
      </c>
      <c r="AV13">
        <v>0</v>
      </c>
      <c r="AW13">
        <v>1</v>
      </c>
      <c r="AX13">
        <v>-1</v>
      </c>
      <c r="AY13">
        <v>0</v>
      </c>
      <c r="AZ13">
        <v>0</v>
      </c>
      <c r="BA13" t="s">
        <v>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0.72</v>
      </c>
      <c r="CY13">
        <f>AA13</f>
        <v>578.6</v>
      </c>
      <c r="CZ13">
        <f>AE13</f>
        <v>104.99</v>
      </c>
      <c r="DA13">
        <f>AI13</f>
        <v>5.5</v>
      </c>
      <c r="DB13">
        <f>ROUND(ROUND(AT13*CZ13,2),6)</f>
        <v>10499</v>
      </c>
      <c r="DC13">
        <f>ROUND(ROUND(AT13*AG13,2),6)</f>
        <v>0</v>
      </c>
    </row>
    <row r="14" spans="1:107" x14ac:dyDescent="0.25">
      <c r="A14">
        <f>ROW(Source!A27)</f>
        <v>27</v>
      </c>
      <c r="B14">
        <v>23231056</v>
      </c>
      <c r="C14">
        <v>23231371</v>
      </c>
      <c r="D14">
        <v>16804829</v>
      </c>
      <c r="E14">
        <v>16804826</v>
      </c>
      <c r="F14">
        <v>1</v>
      </c>
      <c r="G14">
        <v>16804826</v>
      </c>
      <c r="H14">
        <v>1</v>
      </c>
      <c r="I14" t="s">
        <v>177</v>
      </c>
      <c r="J14" t="s">
        <v>3</v>
      </c>
      <c r="K14" t="s">
        <v>178</v>
      </c>
      <c r="L14">
        <v>1191</v>
      </c>
      <c r="N14">
        <v>1013</v>
      </c>
      <c r="O14" t="s">
        <v>179</v>
      </c>
      <c r="P14" t="s">
        <v>179</v>
      </c>
      <c r="Q14">
        <v>1</v>
      </c>
      <c r="W14">
        <v>0</v>
      </c>
      <c r="X14">
        <v>946207192</v>
      </c>
      <c r="Y14">
        <v>24.84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21.6</v>
      </c>
      <c r="AU14" t="s">
        <v>37</v>
      </c>
      <c r="AV14">
        <v>1</v>
      </c>
      <c r="AW14">
        <v>2</v>
      </c>
      <c r="AX14">
        <v>23231381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2.4840000000000001E-2</v>
      </c>
      <c r="CY14">
        <f>AD14</f>
        <v>0</v>
      </c>
      <c r="CZ14">
        <f>AH14</f>
        <v>0</v>
      </c>
      <c r="DA14">
        <f>AL14</f>
        <v>1</v>
      </c>
      <c r="DB14">
        <f t="shared" ref="DB14:DB20" si="2">ROUND((ROUND(AT14*CZ14,2)*1.15),6)</f>
        <v>0</v>
      </c>
      <c r="DC14">
        <f t="shared" ref="DC14:DC20" si="3">ROUND((ROUND(AT14*AG14,2)*1.15),6)</f>
        <v>0</v>
      </c>
    </row>
    <row r="15" spans="1:107" x14ac:dyDescent="0.25">
      <c r="A15">
        <f>ROW(Source!A27)</f>
        <v>27</v>
      </c>
      <c r="B15">
        <v>23231056</v>
      </c>
      <c r="C15">
        <v>23231371</v>
      </c>
      <c r="D15">
        <v>16944967</v>
      </c>
      <c r="E15">
        <v>1</v>
      </c>
      <c r="F15">
        <v>1</v>
      </c>
      <c r="G15">
        <v>16804826</v>
      </c>
      <c r="H15">
        <v>2</v>
      </c>
      <c r="I15" t="s">
        <v>208</v>
      </c>
      <c r="J15" t="s">
        <v>209</v>
      </c>
      <c r="K15" t="s">
        <v>210</v>
      </c>
      <c r="L15">
        <v>1368</v>
      </c>
      <c r="N15">
        <v>1011</v>
      </c>
      <c r="O15" t="s">
        <v>186</v>
      </c>
      <c r="P15" t="s">
        <v>186</v>
      </c>
      <c r="Q15">
        <v>1</v>
      </c>
      <c r="W15">
        <v>0</v>
      </c>
      <c r="X15">
        <v>-435413025</v>
      </c>
      <c r="Y15">
        <v>2.7024999999999997</v>
      </c>
      <c r="AA15">
        <v>0</v>
      </c>
      <c r="AB15">
        <v>975.37</v>
      </c>
      <c r="AC15">
        <v>570.66999999999996</v>
      </c>
      <c r="AD15">
        <v>0</v>
      </c>
      <c r="AE15">
        <v>0</v>
      </c>
      <c r="AF15">
        <v>95.06</v>
      </c>
      <c r="AG15">
        <v>22.22</v>
      </c>
      <c r="AH15">
        <v>0</v>
      </c>
      <c r="AI15">
        <v>1</v>
      </c>
      <c r="AJ15">
        <v>9.8000000000000007</v>
      </c>
      <c r="AK15">
        <v>24.53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2.35</v>
      </c>
      <c r="AU15" t="s">
        <v>37</v>
      </c>
      <c r="AV15">
        <v>0</v>
      </c>
      <c r="AW15">
        <v>2</v>
      </c>
      <c r="AX15">
        <v>23231382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2.7024999999999996E-3</v>
      </c>
      <c r="CY15">
        <f t="shared" ref="CY15:CY20" si="4">AB15</f>
        <v>975.37</v>
      </c>
      <c r="CZ15">
        <f t="shared" ref="CZ15:CZ20" si="5">AF15</f>
        <v>95.06</v>
      </c>
      <c r="DA15">
        <f t="shared" ref="DA15:DA20" si="6">AJ15</f>
        <v>9.8000000000000007</v>
      </c>
      <c r="DB15">
        <f t="shared" si="2"/>
        <v>256.89850000000001</v>
      </c>
      <c r="DC15">
        <f t="shared" si="3"/>
        <v>60.052999999999997</v>
      </c>
    </row>
    <row r="16" spans="1:107" x14ac:dyDescent="0.25">
      <c r="A16">
        <f>ROW(Source!A27)</f>
        <v>27</v>
      </c>
      <c r="B16">
        <v>23231056</v>
      </c>
      <c r="C16">
        <v>23231371</v>
      </c>
      <c r="D16">
        <v>16945201</v>
      </c>
      <c r="E16">
        <v>1</v>
      </c>
      <c r="F16">
        <v>1</v>
      </c>
      <c r="G16">
        <v>16804826</v>
      </c>
      <c r="H16">
        <v>2</v>
      </c>
      <c r="I16" t="s">
        <v>199</v>
      </c>
      <c r="J16" t="s">
        <v>200</v>
      </c>
      <c r="K16" t="s">
        <v>201</v>
      </c>
      <c r="L16">
        <v>1368</v>
      </c>
      <c r="N16">
        <v>1011</v>
      </c>
      <c r="O16" t="s">
        <v>186</v>
      </c>
      <c r="P16" t="s">
        <v>186</v>
      </c>
      <c r="Q16">
        <v>1</v>
      </c>
      <c r="W16">
        <v>0</v>
      </c>
      <c r="X16">
        <v>-1774859560</v>
      </c>
      <c r="Y16">
        <v>1.0465</v>
      </c>
      <c r="AA16">
        <v>0</v>
      </c>
      <c r="AB16">
        <v>2032.62</v>
      </c>
      <c r="AC16">
        <v>343.38</v>
      </c>
      <c r="AD16">
        <v>0</v>
      </c>
      <c r="AE16">
        <v>0</v>
      </c>
      <c r="AF16">
        <v>246.68</v>
      </c>
      <c r="AG16">
        <v>13.37</v>
      </c>
      <c r="AH16">
        <v>0</v>
      </c>
      <c r="AI16">
        <v>1</v>
      </c>
      <c r="AJ16">
        <v>7.87</v>
      </c>
      <c r="AK16">
        <v>24.53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0.91</v>
      </c>
      <c r="AU16" t="s">
        <v>37</v>
      </c>
      <c r="AV16">
        <v>0</v>
      </c>
      <c r="AW16">
        <v>2</v>
      </c>
      <c r="AX16">
        <v>23231383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1.0464999999999999E-3</v>
      </c>
      <c r="CY16">
        <f t="shared" si="4"/>
        <v>2032.62</v>
      </c>
      <c r="CZ16">
        <f t="shared" si="5"/>
        <v>246.68</v>
      </c>
      <c r="DA16">
        <f t="shared" si="6"/>
        <v>7.87</v>
      </c>
      <c r="DB16">
        <f t="shared" si="2"/>
        <v>258.15199999999999</v>
      </c>
      <c r="DC16">
        <f t="shared" si="3"/>
        <v>13.9955</v>
      </c>
    </row>
    <row r="17" spans="1:107" x14ac:dyDescent="0.25">
      <c r="A17">
        <f>ROW(Source!A27)</f>
        <v>27</v>
      </c>
      <c r="B17">
        <v>23231056</v>
      </c>
      <c r="C17">
        <v>23231371</v>
      </c>
      <c r="D17">
        <v>16945186</v>
      </c>
      <c r="E17">
        <v>1</v>
      </c>
      <c r="F17">
        <v>1</v>
      </c>
      <c r="G17">
        <v>16804826</v>
      </c>
      <c r="H17">
        <v>2</v>
      </c>
      <c r="I17" t="s">
        <v>211</v>
      </c>
      <c r="J17" t="s">
        <v>212</v>
      </c>
      <c r="K17" t="s">
        <v>213</v>
      </c>
      <c r="L17">
        <v>1368</v>
      </c>
      <c r="N17">
        <v>1011</v>
      </c>
      <c r="O17" t="s">
        <v>186</v>
      </c>
      <c r="P17" t="s">
        <v>186</v>
      </c>
      <c r="Q17">
        <v>1</v>
      </c>
      <c r="W17">
        <v>0</v>
      </c>
      <c r="X17">
        <v>633757042</v>
      </c>
      <c r="Y17">
        <v>8.2454999999999998</v>
      </c>
      <c r="AA17">
        <v>0</v>
      </c>
      <c r="AB17">
        <v>1451.16</v>
      </c>
      <c r="AC17">
        <v>385.76</v>
      </c>
      <c r="AD17">
        <v>0</v>
      </c>
      <c r="AE17">
        <v>0</v>
      </c>
      <c r="AF17">
        <v>169.44</v>
      </c>
      <c r="AG17">
        <v>15.02</v>
      </c>
      <c r="AH17">
        <v>0</v>
      </c>
      <c r="AI17">
        <v>1</v>
      </c>
      <c r="AJ17">
        <v>8.18</v>
      </c>
      <c r="AK17">
        <v>24.53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7.17</v>
      </c>
      <c r="AU17" t="s">
        <v>37</v>
      </c>
      <c r="AV17">
        <v>0</v>
      </c>
      <c r="AW17">
        <v>2</v>
      </c>
      <c r="AX17">
        <v>23231384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8.2454999999999994E-3</v>
      </c>
      <c r="CY17">
        <f t="shared" si="4"/>
        <v>1451.16</v>
      </c>
      <c r="CZ17">
        <f t="shared" si="5"/>
        <v>169.44</v>
      </c>
      <c r="DA17">
        <f t="shared" si="6"/>
        <v>8.18</v>
      </c>
      <c r="DB17">
        <f t="shared" si="2"/>
        <v>1397.1120000000001</v>
      </c>
      <c r="DC17">
        <f t="shared" si="3"/>
        <v>123.84350000000001</v>
      </c>
    </row>
    <row r="18" spans="1:107" x14ac:dyDescent="0.25">
      <c r="A18">
        <f>ROW(Source!A27)</f>
        <v>27</v>
      </c>
      <c r="B18">
        <v>23231056</v>
      </c>
      <c r="C18">
        <v>23231371</v>
      </c>
      <c r="D18">
        <v>16945187</v>
      </c>
      <c r="E18">
        <v>1</v>
      </c>
      <c r="F18">
        <v>1</v>
      </c>
      <c r="G18">
        <v>16804826</v>
      </c>
      <c r="H18">
        <v>2</v>
      </c>
      <c r="I18" t="s">
        <v>214</v>
      </c>
      <c r="J18" t="s">
        <v>215</v>
      </c>
      <c r="K18" t="s">
        <v>216</v>
      </c>
      <c r="L18">
        <v>1368</v>
      </c>
      <c r="N18">
        <v>1011</v>
      </c>
      <c r="O18" t="s">
        <v>186</v>
      </c>
      <c r="P18" t="s">
        <v>186</v>
      </c>
      <c r="Q18">
        <v>1</v>
      </c>
      <c r="W18">
        <v>0</v>
      </c>
      <c r="X18">
        <v>-1504561236</v>
      </c>
      <c r="Y18">
        <v>16.79</v>
      </c>
      <c r="AA18">
        <v>0</v>
      </c>
      <c r="AB18">
        <v>1893.69</v>
      </c>
      <c r="AC18">
        <v>449.71</v>
      </c>
      <c r="AD18">
        <v>0</v>
      </c>
      <c r="AE18">
        <v>0</v>
      </c>
      <c r="AF18">
        <v>219.5</v>
      </c>
      <c r="AG18">
        <v>17.510000000000002</v>
      </c>
      <c r="AH18">
        <v>0</v>
      </c>
      <c r="AI18">
        <v>1</v>
      </c>
      <c r="AJ18">
        <v>8.24</v>
      </c>
      <c r="AK18">
        <v>24.53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14.6</v>
      </c>
      <c r="AU18" t="s">
        <v>37</v>
      </c>
      <c r="AV18">
        <v>0</v>
      </c>
      <c r="AW18">
        <v>2</v>
      </c>
      <c r="AX18">
        <v>23231385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1.6789999999999999E-2</v>
      </c>
      <c r="CY18">
        <f t="shared" si="4"/>
        <v>1893.69</v>
      </c>
      <c r="CZ18">
        <f t="shared" si="5"/>
        <v>219.5</v>
      </c>
      <c r="DA18">
        <f t="shared" si="6"/>
        <v>8.24</v>
      </c>
      <c r="DB18">
        <f t="shared" si="2"/>
        <v>3685.4050000000002</v>
      </c>
      <c r="DC18">
        <f t="shared" si="3"/>
        <v>293.9975</v>
      </c>
    </row>
    <row r="19" spans="1:107" x14ac:dyDescent="0.25">
      <c r="A19">
        <f>ROW(Source!A27)</f>
        <v>27</v>
      </c>
      <c r="B19">
        <v>23231056</v>
      </c>
      <c r="C19">
        <v>23231371</v>
      </c>
      <c r="D19">
        <v>16945229</v>
      </c>
      <c r="E19">
        <v>1</v>
      </c>
      <c r="F19">
        <v>1</v>
      </c>
      <c r="G19">
        <v>16804826</v>
      </c>
      <c r="H19">
        <v>2</v>
      </c>
      <c r="I19" t="s">
        <v>190</v>
      </c>
      <c r="J19" t="s">
        <v>191</v>
      </c>
      <c r="K19" t="s">
        <v>192</v>
      </c>
      <c r="L19">
        <v>1368</v>
      </c>
      <c r="N19">
        <v>1011</v>
      </c>
      <c r="O19" t="s">
        <v>186</v>
      </c>
      <c r="P19" t="s">
        <v>186</v>
      </c>
      <c r="Q19">
        <v>1</v>
      </c>
      <c r="W19">
        <v>0</v>
      </c>
      <c r="X19">
        <v>36406169</v>
      </c>
      <c r="Y19">
        <v>2.0585</v>
      </c>
      <c r="AA19">
        <v>0</v>
      </c>
      <c r="AB19">
        <v>1488.29</v>
      </c>
      <c r="AC19">
        <v>635.4</v>
      </c>
      <c r="AD19">
        <v>0</v>
      </c>
      <c r="AE19">
        <v>0</v>
      </c>
      <c r="AF19">
        <v>125.13</v>
      </c>
      <c r="AG19">
        <v>24.74</v>
      </c>
      <c r="AH19">
        <v>0</v>
      </c>
      <c r="AI19">
        <v>1</v>
      </c>
      <c r="AJ19">
        <v>11.36</v>
      </c>
      <c r="AK19">
        <v>24.53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1.79</v>
      </c>
      <c r="AU19" t="s">
        <v>37</v>
      </c>
      <c r="AV19">
        <v>0</v>
      </c>
      <c r="AW19">
        <v>2</v>
      </c>
      <c r="AX19">
        <v>23231386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2.0585E-3</v>
      </c>
      <c r="CY19">
        <f t="shared" si="4"/>
        <v>1488.29</v>
      </c>
      <c r="CZ19">
        <f t="shared" si="5"/>
        <v>125.13</v>
      </c>
      <c r="DA19">
        <f t="shared" si="6"/>
        <v>11.36</v>
      </c>
      <c r="DB19">
        <f t="shared" si="2"/>
        <v>257.577</v>
      </c>
      <c r="DC19">
        <f t="shared" si="3"/>
        <v>50.921999999999997</v>
      </c>
    </row>
    <row r="20" spans="1:107" x14ac:dyDescent="0.25">
      <c r="A20">
        <f>ROW(Source!A27)</f>
        <v>27</v>
      </c>
      <c r="B20">
        <v>23231056</v>
      </c>
      <c r="C20">
        <v>23231371</v>
      </c>
      <c r="D20">
        <v>16945191</v>
      </c>
      <c r="E20">
        <v>1</v>
      </c>
      <c r="F20">
        <v>1</v>
      </c>
      <c r="G20">
        <v>16804826</v>
      </c>
      <c r="H20">
        <v>2</v>
      </c>
      <c r="I20" t="s">
        <v>202</v>
      </c>
      <c r="J20" t="s">
        <v>203</v>
      </c>
      <c r="K20" t="s">
        <v>204</v>
      </c>
      <c r="L20">
        <v>1368</v>
      </c>
      <c r="N20">
        <v>1011</v>
      </c>
      <c r="O20" t="s">
        <v>186</v>
      </c>
      <c r="P20" t="s">
        <v>186</v>
      </c>
      <c r="Q20">
        <v>1</v>
      </c>
      <c r="W20">
        <v>0</v>
      </c>
      <c r="X20">
        <v>-729676069</v>
      </c>
      <c r="Y20">
        <v>0.59799999999999998</v>
      </c>
      <c r="AA20">
        <v>0</v>
      </c>
      <c r="AB20">
        <v>1581.88</v>
      </c>
      <c r="AC20">
        <v>447.4</v>
      </c>
      <c r="AD20">
        <v>0</v>
      </c>
      <c r="AE20">
        <v>0</v>
      </c>
      <c r="AF20">
        <v>177.54</v>
      </c>
      <c r="AG20">
        <v>17.420000000000002</v>
      </c>
      <c r="AH20">
        <v>0</v>
      </c>
      <c r="AI20">
        <v>1</v>
      </c>
      <c r="AJ20">
        <v>8.51</v>
      </c>
      <c r="AK20">
        <v>24.53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0.52</v>
      </c>
      <c r="AU20" t="s">
        <v>37</v>
      </c>
      <c r="AV20">
        <v>0</v>
      </c>
      <c r="AW20">
        <v>2</v>
      </c>
      <c r="AX20">
        <v>23231387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5.9800000000000001E-4</v>
      </c>
      <c r="CY20">
        <f t="shared" si="4"/>
        <v>1581.88</v>
      </c>
      <c r="CZ20">
        <f t="shared" si="5"/>
        <v>177.54</v>
      </c>
      <c r="DA20">
        <f t="shared" si="6"/>
        <v>8.51</v>
      </c>
      <c r="DB20">
        <f t="shared" si="2"/>
        <v>106.16800000000001</v>
      </c>
      <c r="DC20">
        <f t="shared" si="3"/>
        <v>10.419</v>
      </c>
    </row>
    <row r="21" spans="1:107" x14ac:dyDescent="0.25">
      <c r="A21">
        <f>ROW(Source!A27)</f>
        <v>27</v>
      </c>
      <c r="B21">
        <v>23231056</v>
      </c>
      <c r="C21">
        <v>23231371</v>
      </c>
      <c r="D21">
        <v>16946353</v>
      </c>
      <c r="E21">
        <v>1</v>
      </c>
      <c r="F21">
        <v>1</v>
      </c>
      <c r="G21">
        <v>16804826</v>
      </c>
      <c r="H21">
        <v>3</v>
      </c>
      <c r="I21" t="s">
        <v>205</v>
      </c>
      <c r="J21" t="s">
        <v>206</v>
      </c>
      <c r="K21" t="s">
        <v>207</v>
      </c>
      <c r="L21">
        <v>1339</v>
      </c>
      <c r="N21">
        <v>1007</v>
      </c>
      <c r="O21" t="s">
        <v>45</v>
      </c>
      <c r="P21" t="s">
        <v>45</v>
      </c>
      <c r="Q21">
        <v>1</v>
      </c>
      <c r="W21">
        <v>0</v>
      </c>
      <c r="X21">
        <v>55300385</v>
      </c>
      <c r="Y21">
        <v>7</v>
      </c>
      <c r="AA21">
        <v>35.35</v>
      </c>
      <c r="AB21">
        <v>0</v>
      </c>
      <c r="AC21">
        <v>0</v>
      </c>
      <c r="AD21">
        <v>0</v>
      </c>
      <c r="AE21">
        <v>7.07</v>
      </c>
      <c r="AF21">
        <v>0</v>
      </c>
      <c r="AG21">
        <v>0</v>
      </c>
      <c r="AH21">
        <v>0</v>
      </c>
      <c r="AI21">
        <v>4.99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7</v>
      </c>
      <c r="AU21" t="s">
        <v>3</v>
      </c>
      <c r="AV21">
        <v>0</v>
      </c>
      <c r="AW21">
        <v>2</v>
      </c>
      <c r="AX21">
        <v>23231388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7.0000000000000001E-3</v>
      </c>
      <c r="CY21">
        <f>AA21</f>
        <v>35.35</v>
      </c>
      <c r="CZ21">
        <f>AE21</f>
        <v>7.07</v>
      </c>
      <c r="DA21">
        <f>AI21</f>
        <v>4.99</v>
      </c>
      <c r="DB21">
        <f>ROUND(ROUND(AT21*CZ21,2),6)</f>
        <v>49.49</v>
      </c>
      <c r="DC21">
        <f>ROUND(ROUND(AT21*AG21,2),6)</f>
        <v>0</v>
      </c>
    </row>
    <row r="22" spans="1:107" x14ac:dyDescent="0.25">
      <c r="A22">
        <f>ROW(Source!A27)</f>
        <v>27</v>
      </c>
      <c r="B22">
        <v>23231056</v>
      </c>
      <c r="C22">
        <v>23231371</v>
      </c>
      <c r="D22">
        <v>16947865</v>
      </c>
      <c r="E22">
        <v>1</v>
      </c>
      <c r="F22">
        <v>1</v>
      </c>
      <c r="G22">
        <v>16804826</v>
      </c>
      <c r="H22">
        <v>3</v>
      </c>
      <c r="I22" t="s">
        <v>52</v>
      </c>
      <c r="J22" t="s">
        <v>54</v>
      </c>
      <c r="K22" t="s">
        <v>53</v>
      </c>
      <c r="L22">
        <v>1339</v>
      </c>
      <c r="N22">
        <v>1007</v>
      </c>
      <c r="O22" t="s">
        <v>45</v>
      </c>
      <c r="P22" t="s">
        <v>45</v>
      </c>
      <c r="Q22">
        <v>1</v>
      </c>
      <c r="W22">
        <v>0</v>
      </c>
      <c r="X22">
        <v>-249176104</v>
      </c>
      <c r="Y22">
        <v>100</v>
      </c>
      <c r="AA22">
        <v>1848.35</v>
      </c>
      <c r="AB22">
        <v>0</v>
      </c>
      <c r="AC22">
        <v>0</v>
      </c>
      <c r="AD22">
        <v>0</v>
      </c>
      <c r="AE22">
        <v>234.69</v>
      </c>
      <c r="AF22">
        <v>0</v>
      </c>
      <c r="AG22">
        <v>0</v>
      </c>
      <c r="AH22">
        <v>0</v>
      </c>
      <c r="AI22">
        <v>7.86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3</v>
      </c>
      <c r="AT22">
        <v>100</v>
      </c>
      <c r="AU22" t="s">
        <v>3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0.1</v>
      </c>
      <c r="CY22">
        <f>AA22</f>
        <v>1848.35</v>
      </c>
      <c r="CZ22">
        <f>AE22</f>
        <v>234.69</v>
      </c>
      <c r="DA22">
        <f>AI22</f>
        <v>7.86</v>
      </c>
      <c r="DB22">
        <f>ROUND(ROUND(AT22*CZ22,2),6)</f>
        <v>23469</v>
      </c>
      <c r="DC22">
        <f>ROUND(ROUND(AT22*AG22,2),6)</f>
        <v>0</v>
      </c>
    </row>
    <row r="23" spans="1:107" x14ac:dyDescent="0.25">
      <c r="A23">
        <f>ROW(Source!A29)</f>
        <v>29</v>
      </c>
      <c r="B23">
        <v>23231056</v>
      </c>
      <c r="C23">
        <v>23231391</v>
      </c>
      <c r="D23">
        <v>16804829</v>
      </c>
      <c r="E23">
        <v>16804826</v>
      </c>
      <c r="F23">
        <v>1</v>
      </c>
      <c r="G23">
        <v>16804826</v>
      </c>
      <c r="H23">
        <v>1</v>
      </c>
      <c r="I23" t="s">
        <v>177</v>
      </c>
      <c r="J23" t="s">
        <v>3</v>
      </c>
      <c r="K23" t="s">
        <v>178</v>
      </c>
      <c r="L23">
        <v>1191</v>
      </c>
      <c r="N23">
        <v>1013</v>
      </c>
      <c r="O23" t="s">
        <v>179</v>
      </c>
      <c r="P23" t="s">
        <v>179</v>
      </c>
      <c r="Q23">
        <v>1</v>
      </c>
      <c r="W23">
        <v>0</v>
      </c>
      <c r="X23">
        <v>946207192</v>
      </c>
      <c r="Y23">
        <v>14.834999999999999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12.9</v>
      </c>
      <c r="AU23" t="s">
        <v>37</v>
      </c>
      <c r="AV23">
        <v>1</v>
      </c>
      <c r="AW23">
        <v>2</v>
      </c>
      <c r="AX23">
        <v>23231395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3.5603999999999997E-2</v>
      </c>
      <c r="CY23">
        <f>AD23</f>
        <v>0</v>
      </c>
      <c r="CZ23">
        <f>AH23</f>
        <v>0</v>
      </c>
      <c r="DA23">
        <f>AL23</f>
        <v>1</v>
      </c>
      <c r="DB23">
        <f>ROUND((ROUND(AT23*CZ23,2)*1.15),6)</f>
        <v>0</v>
      </c>
      <c r="DC23">
        <f>ROUND((ROUND(AT23*AG23,2)*1.15),6)</f>
        <v>0</v>
      </c>
    </row>
    <row r="24" spans="1:107" x14ac:dyDescent="0.25">
      <c r="A24">
        <f>ROW(Source!A29)</f>
        <v>29</v>
      </c>
      <c r="B24">
        <v>23231056</v>
      </c>
      <c r="C24">
        <v>23231391</v>
      </c>
      <c r="D24">
        <v>16945374</v>
      </c>
      <c r="E24">
        <v>1</v>
      </c>
      <c r="F24">
        <v>1</v>
      </c>
      <c r="G24">
        <v>16804826</v>
      </c>
      <c r="H24">
        <v>2</v>
      </c>
      <c r="I24" t="s">
        <v>183</v>
      </c>
      <c r="J24" t="s">
        <v>184</v>
      </c>
      <c r="K24" t="s">
        <v>217</v>
      </c>
      <c r="L24">
        <v>1368</v>
      </c>
      <c r="N24">
        <v>1011</v>
      </c>
      <c r="O24" t="s">
        <v>186</v>
      </c>
      <c r="P24" t="s">
        <v>186</v>
      </c>
      <c r="Q24">
        <v>1</v>
      </c>
      <c r="W24">
        <v>0</v>
      </c>
      <c r="X24">
        <v>1594498641</v>
      </c>
      <c r="Y24">
        <v>14.374999999999998</v>
      </c>
      <c r="AA24">
        <v>0</v>
      </c>
      <c r="AB24">
        <v>770.51</v>
      </c>
      <c r="AC24">
        <v>474.62</v>
      </c>
      <c r="AD24">
        <v>0</v>
      </c>
      <c r="AE24">
        <v>0</v>
      </c>
      <c r="AF24">
        <v>60.77</v>
      </c>
      <c r="AG24">
        <v>18.48</v>
      </c>
      <c r="AH24">
        <v>0</v>
      </c>
      <c r="AI24">
        <v>1</v>
      </c>
      <c r="AJ24">
        <v>12.11</v>
      </c>
      <c r="AK24">
        <v>24.53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12.5</v>
      </c>
      <c r="AU24" t="s">
        <v>37</v>
      </c>
      <c r="AV24">
        <v>0</v>
      </c>
      <c r="AW24">
        <v>2</v>
      </c>
      <c r="AX24">
        <v>23231396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3.4499999999999996E-2</v>
      </c>
      <c r="CY24">
        <f>AB24</f>
        <v>770.51</v>
      </c>
      <c r="CZ24">
        <f>AF24</f>
        <v>60.77</v>
      </c>
      <c r="DA24">
        <f>AJ24</f>
        <v>12.11</v>
      </c>
      <c r="DB24">
        <f>ROUND((ROUND(AT24*CZ24,2)*1.15),6)</f>
        <v>873.57449999999994</v>
      </c>
      <c r="DC24">
        <f>ROUND((ROUND(AT24*AG24,2)*1.15),6)</f>
        <v>265.64999999999998</v>
      </c>
    </row>
    <row r="25" spans="1:107" x14ac:dyDescent="0.25">
      <c r="A25">
        <f>ROW(Source!A29)</f>
        <v>29</v>
      </c>
      <c r="B25">
        <v>23231056</v>
      </c>
      <c r="C25">
        <v>23231391</v>
      </c>
      <c r="D25">
        <v>16945764</v>
      </c>
      <c r="E25">
        <v>1</v>
      </c>
      <c r="F25">
        <v>1</v>
      </c>
      <c r="G25">
        <v>16804826</v>
      </c>
      <c r="H25">
        <v>2</v>
      </c>
      <c r="I25" t="s">
        <v>218</v>
      </c>
      <c r="J25" t="s">
        <v>219</v>
      </c>
      <c r="K25" t="s">
        <v>220</v>
      </c>
      <c r="L25">
        <v>1368</v>
      </c>
      <c r="N25">
        <v>1011</v>
      </c>
      <c r="O25" t="s">
        <v>186</v>
      </c>
      <c r="P25" t="s">
        <v>186</v>
      </c>
      <c r="Q25">
        <v>1</v>
      </c>
      <c r="W25">
        <v>0</v>
      </c>
      <c r="X25">
        <v>-412534680</v>
      </c>
      <c r="Y25">
        <v>14.374999999999998</v>
      </c>
      <c r="AA25">
        <v>0</v>
      </c>
      <c r="AB25">
        <v>3.45</v>
      </c>
      <c r="AC25">
        <v>2.31</v>
      </c>
      <c r="AD25">
        <v>0</v>
      </c>
      <c r="AE25">
        <v>0</v>
      </c>
      <c r="AF25">
        <v>0.56000000000000005</v>
      </c>
      <c r="AG25">
        <v>0.09</v>
      </c>
      <c r="AH25">
        <v>0</v>
      </c>
      <c r="AI25">
        <v>1</v>
      </c>
      <c r="AJ25">
        <v>5.89</v>
      </c>
      <c r="AK25">
        <v>24.53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12.5</v>
      </c>
      <c r="AU25" t="s">
        <v>37</v>
      </c>
      <c r="AV25">
        <v>0</v>
      </c>
      <c r="AW25">
        <v>2</v>
      </c>
      <c r="AX25">
        <v>23231397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3.4499999999999996E-2</v>
      </c>
      <c r="CY25">
        <f>AB25</f>
        <v>3.45</v>
      </c>
      <c r="CZ25">
        <f>AF25</f>
        <v>0.56000000000000005</v>
      </c>
      <c r="DA25">
        <f>AJ25</f>
        <v>5.89</v>
      </c>
      <c r="DB25">
        <f>ROUND((ROUND(AT25*CZ25,2)*1.15),6)</f>
        <v>8.0500000000000007</v>
      </c>
      <c r="DC25">
        <f>ROUND((ROUND(AT25*AG25,2)*1.15),6)</f>
        <v>1.2995000000000001</v>
      </c>
    </row>
    <row r="26" spans="1:107" x14ac:dyDescent="0.25">
      <c r="A26">
        <f>ROW(Source!A30)</f>
        <v>30</v>
      </c>
      <c r="B26">
        <v>23231056</v>
      </c>
      <c r="C26">
        <v>23231398</v>
      </c>
      <c r="D26">
        <v>16804829</v>
      </c>
      <c r="E26">
        <v>16804826</v>
      </c>
      <c r="F26">
        <v>1</v>
      </c>
      <c r="G26">
        <v>16804826</v>
      </c>
      <c r="H26">
        <v>1</v>
      </c>
      <c r="I26" t="s">
        <v>177</v>
      </c>
      <c r="J26" t="s">
        <v>3</v>
      </c>
      <c r="K26" t="s">
        <v>178</v>
      </c>
      <c r="L26">
        <v>1191</v>
      </c>
      <c r="N26">
        <v>1013</v>
      </c>
      <c r="O26" t="s">
        <v>179</v>
      </c>
      <c r="P26" t="s">
        <v>179</v>
      </c>
      <c r="Q26">
        <v>1</v>
      </c>
      <c r="W26">
        <v>0</v>
      </c>
      <c r="X26">
        <v>946207192</v>
      </c>
      <c r="Y26">
        <v>14.029999999999998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12.2</v>
      </c>
      <c r="AU26" t="s">
        <v>37</v>
      </c>
      <c r="AV26">
        <v>1</v>
      </c>
      <c r="AW26">
        <v>2</v>
      </c>
      <c r="AX26">
        <v>23231402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3.3671999999999994E-2</v>
      </c>
      <c r="CY26">
        <f>AD26</f>
        <v>0</v>
      </c>
      <c r="CZ26">
        <f>AH26</f>
        <v>0</v>
      </c>
      <c r="DA26">
        <f>AL26</f>
        <v>1</v>
      </c>
      <c r="DB26">
        <f>ROUND((ROUND(AT26*CZ26,2)*1.15),6)</f>
        <v>0</v>
      </c>
      <c r="DC26">
        <f>ROUND((ROUND(AT26*AG26,2)*1.15),6)</f>
        <v>0</v>
      </c>
    </row>
    <row r="27" spans="1:107" x14ac:dyDescent="0.25">
      <c r="A27">
        <f>ROW(Source!A30)</f>
        <v>30</v>
      </c>
      <c r="B27">
        <v>23231056</v>
      </c>
      <c r="C27">
        <v>23231398</v>
      </c>
      <c r="D27">
        <v>16945201</v>
      </c>
      <c r="E27">
        <v>1</v>
      </c>
      <c r="F27">
        <v>1</v>
      </c>
      <c r="G27">
        <v>16804826</v>
      </c>
      <c r="H27">
        <v>2</v>
      </c>
      <c r="I27" t="s">
        <v>199</v>
      </c>
      <c r="J27" t="s">
        <v>200</v>
      </c>
      <c r="K27" t="s">
        <v>201</v>
      </c>
      <c r="L27">
        <v>1368</v>
      </c>
      <c r="N27">
        <v>1011</v>
      </c>
      <c r="O27" t="s">
        <v>186</v>
      </c>
      <c r="P27" t="s">
        <v>186</v>
      </c>
      <c r="Q27">
        <v>1</v>
      </c>
      <c r="W27">
        <v>0</v>
      </c>
      <c r="X27">
        <v>-1774859560</v>
      </c>
      <c r="Y27">
        <v>14.029999999999998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7.87</v>
      </c>
      <c r="AK27">
        <v>24.53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12.2</v>
      </c>
      <c r="AU27" t="s">
        <v>37</v>
      </c>
      <c r="AV27">
        <v>0</v>
      </c>
      <c r="AW27">
        <v>2</v>
      </c>
      <c r="AX27">
        <v>23231403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3.3671999999999994E-2</v>
      </c>
      <c r="CY27">
        <f>AB27</f>
        <v>0</v>
      </c>
      <c r="CZ27">
        <f>AF27</f>
        <v>0</v>
      </c>
      <c r="DA27">
        <f>AJ27</f>
        <v>7.87</v>
      </c>
      <c r="DB27">
        <f>ROUND((ROUND(AT27*CZ27,2)*1.15),6)</f>
        <v>0</v>
      </c>
      <c r="DC27">
        <f>ROUND((ROUND(AT27*AG27,2)*1.15),6)</f>
        <v>0</v>
      </c>
    </row>
    <row r="28" spans="1:107" x14ac:dyDescent="0.25">
      <c r="A28">
        <f>ROW(Source!A30)</f>
        <v>30</v>
      </c>
      <c r="B28">
        <v>23231056</v>
      </c>
      <c r="C28">
        <v>23231398</v>
      </c>
      <c r="D28">
        <v>16946353</v>
      </c>
      <c r="E28">
        <v>1</v>
      </c>
      <c r="F28">
        <v>1</v>
      </c>
      <c r="G28">
        <v>16804826</v>
      </c>
      <c r="H28">
        <v>3</v>
      </c>
      <c r="I28" t="s">
        <v>205</v>
      </c>
      <c r="J28" t="s">
        <v>206</v>
      </c>
      <c r="K28" t="s">
        <v>207</v>
      </c>
      <c r="L28">
        <v>1339</v>
      </c>
      <c r="N28">
        <v>1007</v>
      </c>
      <c r="O28" t="s">
        <v>45</v>
      </c>
      <c r="P28" t="s">
        <v>45</v>
      </c>
      <c r="Q28">
        <v>1</v>
      </c>
      <c r="W28">
        <v>0</v>
      </c>
      <c r="X28">
        <v>55300385</v>
      </c>
      <c r="Y28">
        <v>100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4.99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100</v>
      </c>
      <c r="AU28" t="s">
        <v>3</v>
      </c>
      <c r="AV28">
        <v>0</v>
      </c>
      <c r="AW28">
        <v>2</v>
      </c>
      <c r="AX28">
        <v>23231404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0.24</v>
      </c>
      <c r="CY28">
        <f>AA28</f>
        <v>0</v>
      </c>
      <c r="CZ28">
        <f>AE28</f>
        <v>0</v>
      </c>
      <c r="DA28">
        <f>AI28</f>
        <v>4.99</v>
      </c>
      <c r="DB28">
        <f>ROUND(ROUND(AT28*CZ28,2),6)</f>
        <v>0</v>
      </c>
      <c r="DC28">
        <f>ROUND(ROUND(AT28*AG28,2),6)</f>
        <v>0</v>
      </c>
    </row>
    <row r="29" spans="1:107" x14ac:dyDescent="0.25">
      <c r="A29">
        <f>ROW(Source!A31)</f>
        <v>31</v>
      </c>
      <c r="B29">
        <v>23231056</v>
      </c>
      <c r="C29">
        <v>23231405</v>
      </c>
      <c r="D29">
        <v>16804829</v>
      </c>
      <c r="E29">
        <v>16804826</v>
      </c>
      <c r="F29">
        <v>1</v>
      </c>
      <c r="G29">
        <v>16804826</v>
      </c>
      <c r="H29">
        <v>1</v>
      </c>
      <c r="I29" t="s">
        <v>177</v>
      </c>
      <c r="J29" t="s">
        <v>3</v>
      </c>
      <c r="K29" t="s">
        <v>178</v>
      </c>
      <c r="L29">
        <v>1191</v>
      </c>
      <c r="N29">
        <v>1013</v>
      </c>
      <c r="O29" t="s">
        <v>179</v>
      </c>
      <c r="P29" t="s">
        <v>179</v>
      </c>
      <c r="Q29">
        <v>1</v>
      </c>
      <c r="W29">
        <v>0</v>
      </c>
      <c r="X29">
        <v>946207192</v>
      </c>
      <c r="Y29">
        <v>4.9334999999999996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4.29</v>
      </c>
      <c r="AU29" t="s">
        <v>37</v>
      </c>
      <c r="AV29">
        <v>1</v>
      </c>
      <c r="AW29">
        <v>2</v>
      </c>
      <c r="AX29">
        <v>23231417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5.9201999999999987E-3</v>
      </c>
      <c r="CY29">
        <f>AD29</f>
        <v>0</v>
      </c>
      <c r="CZ29">
        <f>AH29</f>
        <v>0</v>
      </c>
      <c r="DA29">
        <f>AL29</f>
        <v>1</v>
      </c>
      <c r="DB29">
        <f t="shared" ref="DB29:DB37" si="7">ROUND((ROUND(AT29*CZ29,2)*1.15),6)</f>
        <v>0</v>
      </c>
      <c r="DC29">
        <f t="shared" ref="DC29:DC37" si="8">ROUND((ROUND(AT29*AG29,2)*1.15),6)</f>
        <v>0</v>
      </c>
    </row>
    <row r="30" spans="1:107" x14ac:dyDescent="0.25">
      <c r="A30">
        <f>ROW(Source!A31)</f>
        <v>31</v>
      </c>
      <c r="B30">
        <v>23231056</v>
      </c>
      <c r="C30">
        <v>23231405</v>
      </c>
      <c r="D30">
        <v>16945374</v>
      </c>
      <c r="E30">
        <v>1</v>
      </c>
      <c r="F30">
        <v>1</v>
      </c>
      <c r="G30">
        <v>16804826</v>
      </c>
      <c r="H30">
        <v>2</v>
      </c>
      <c r="I30" t="s">
        <v>183</v>
      </c>
      <c r="J30" t="s">
        <v>184</v>
      </c>
      <c r="K30" t="s">
        <v>185</v>
      </c>
      <c r="L30">
        <v>1368</v>
      </c>
      <c r="N30">
        <v>1011</v>
      </c>
      <c r="O30" t="s">
        <v>186</v>
      </c>
      <c r="P30" t="s">
        <v>186</v>
      </c>
      <c r="Q30">
        <v>1</v>
      </c>
      <c r="W30">
        <v>0</v>
      </c>
      <c r="X30">
        <v>-353814154</v>
      </c>
      <c r="Y30">
        <v>0.34499999999999997</v>
      </c>
      <c r="AA30">
        <v>0</v>
      </c>
      <c r="AB30">
        <v>770.51</v>
      </c>
      <c r="AC30">
        <v>474.62</v>
      </c>
      <c r="AD30">
        <v>0</v>
      </c>
      <c r="AE30">
        <v>0</v>
      </c>
      <c r="AF30">
        <v>60.77</v>
      </c>
      <c r="AG30">
        <v>18.48</v>
      </c>
      <c r="AH30">
        <v>0</v>
      </c>
      <c r="AI30">
        <v>1</v>
      </c>
      <c r="AJ30">
        <v>12.11</v>
      </c>
      <c r="AK30">
        <v>24.53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0.3</v>
      </c>
      <c r="AU30" t="s">
        <v>37</v>
      </c>
      <c r="AV30">
        <v>0</v>
      </c>
      <c r="AW30">
        <v>2</v>
      </c>
      <c r="AX30">
        <v>23231418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4.1399999999999993E-4</v>
      </c>
      <c r="CY30">
        <f t="shared" ref="CY30:CY37" si="9">AB30</f>
        <v>770.51</v>
      </c>
      <c r="CZ30">
        <f t="shared" ref="CZ30:CZ37" si="10">AF30</f>
        <v>60.77</v>
      </c>
      <c r="DA30">
        <f t="shared" ref="DA30:DA37" si="11">AJ30</f>
        <v>12.11</v>
      </c>
      <c r="DB30">
        <f t="shared" si="7"/>
        <v>20.964500000000001</v>
      </c>
      <c r="DC30">
        <f t="shared" si="8"/>
        <v>6.3710000000000004</v>
      </c>
    </row>
    <row r="31" spans="1:107" x14ac:dyDescent="0.25">
      <c r="A31">
        <f>ROW(Source!A31)</f>
        <v>31</v>
      </c>
      <c r="B31">
        <v>23231056</v>
      </c>
      <c r="C31">
        <v>23231405</v>
      </c>
      <c r="D31">
        <v>16945113</v>
      </c>
      <c r="E31">
        <v>1</v>
      </c>
      <c r="F31">
        <v>1</v>
      </c>
      <c r="G31">
        <v>16804826</v>
      </c>
      <c r="H31">
        <v>2</v>
      </c>
      <c r="I31" t="s">
        <v>221</v>
      </c>
      <c r="J31" t="s">
        <v>222</v>
      </c>
      <c r="K31" t="s">
        <v>223</v>
      </c>
      <c r="L31">
        <v>1368</v>
      </c>
      <c r="N31">
        <v>1011</v>
      </c>
      <c r="O31" t="s">
        <v>186</v>
      </c>
      <c r="P31" t="s">
        <v>186</v>
      </c>
      <c r="Q31">
        <v>1</v>
      </c>
      <c r="W31">
        <v>0</v>
      </c>
      <c r="X31">
        <v>-1762689579</v>
      </c>
      <c r="Y31">
        <v>0.34499999999999997</v>
      </c>
      <c r="AA31">
        <v>0</v>
      </c>
      <c r="AB31">
        <v>1233.79</v>
      </c>
      <c r="AC31">
        <v>493.11</v>
      </c>
      <c r="AD31">
        <v>0</v>
      </c>
      <c r="AE31">
        <v>0</v>
      </c>
      <c r="AF31">
        <v>106.74</v>
      </c>
      <c r="AG31">
        <v>19.2</v>
      </c>
      <c r="AH31">
        <v>0</v>
      </c>
      <c r="AI31">
        <v>1</v>
      </c>
      <c r="AJ31">
        <v>11.04</v>
      </c>
      <c r="AK31">
        <v>24.53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0.3</v>
      </c>
      <c r="AU31" t="s">
        <v>37</v>
      </c>
      <c r="AV31">
        <v>0</v>
      </c>
      <c r="AW31">
        <v>2</v>
      </c>
      <c r="AX31">
        <v>23231419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4.1399999999999993E-4</v>
      </c>
      <c r="CY31">
        <f t="shared" si="9"/>
        <v>1233.79</v>
      </c>
      <c r="CZ31">
        <f t="shared" si="10"/>
        <v>106.74</v>
      </c>
      <c r="DA31">
        <f t="shared" si="11"/>
        <v>11.04</v>
      </c>
      <c r="DB31">
        <f t="shared" si="7"/>
        <v>36.823</v>
      </c>
      <c r="DC31">
        <f t="shared" si="8"/>
        <v>6.6239999999999997</v>
      </c>
    </row>
    <row r="32" spans="1:107" x14ac:dyDescent="0.25">
      <c r="A32">
        <f>ROW(Source!A31)</f>
        <v>31</v>
      </c>
      <c r="B32">
        <v>23231056</v>
      </c>
      <c r="C32">
        <v>23231405</v>
      </c>
      <c r="D32">
        <v>16945201</v>
      </c>
      <c r="E32">
        <v>1</v>
      </c>
      <c r="F32">
        <v>1</v>
      </c>
      <c r="G32">
        <v>16804826</v>
      </c>
      <c r="H32">
        <v>2</v>
      </c>
      <c r="I32" t="s">
        <v>199</v>
      </c>
      <c r="J32" t="s">
        <v>224</v>
      </c>
      <c r="K32" t="s">
        <v>225</v>
      </c>
      <c r="L32">
        <v>1368</v>
      </c>
      <c r="N32">
        <v>1011</v>
      </c>
      <c r="O32" t="s">
        <v>186</v>
      </c>
      <c r="P32" t="s">
        <v>186</v>
      </c>
      <c r="Q32">
        <v>1</v>
      </c>
      <c r="W32">
        <v>0</v>
      </c>
      <c r="X32">
        <v>-469853434</v>
      </c>
      <c r="Y32">
        <v>0.34499999999999997</v>
      </c>
      <c r="AA32">
        <v>0</v>
      </c>
      <c r="AB32">
        <v>2032.62</v>
      </c>
      <c r="AC32">
        <v>343.38</v>
      </c>
      <c r="AD32">
        <v>0</v>
      </c>
      <c r="AE32">
        <v>0</v>
      </c>
      <c r="AF32">
        <v>246.68</v>
      </c>
      <c r="AG32">
        <v>13.37</v>
      </c>
      <c r="AH32">
        <v>0</v>
      </c>
      <c r="AI32">
        <v>1</v>
      </c>
      <c r="AJ32">
        <v>7.87</v>
      </c>
      <c r="AK32">
        <v>24.53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0.3</v>
      </c>
      <c r="AU32" t="s">
        <v>37</v>
      </c>
      <c r="AV32">
        <v>0</v>
      </c>
      <c r="AW32">
        <v>2</v>
      </c>
      <c r="AX32">
        <v>23231420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4.1399999999999993E-4</v>
      </c>
      <c r="CY32">
        <f t="shared" si="9"/>
        <v>2032.62</v>
      </c>
      <c r="CZ32">
        <f t="shared" si="10"/>
        <v>246.68</v>
      </c>
      <c r="DA32">
        <f t="shared" si="11"/>
        <v>7.87</v>
      </c>
      <c r="DB32">
        <f t="shared" si="7"/>
        <v>85.1</v>
      </c>
      <c r="DC32">
        <f t="shared" si="8"/>
        <v>4.6115000000000004</v>
      </c>
    </row>
    <row r="33" spans="1:107" x14ac:dyDescent="0.25">
      <c r="A33">
        <f>ROW(Source!A31)</f>
        <v>31</v>
      </c>
      <c r="B33">
        <v>23231056</v>
      </c>
      <c r="C33">
        <v>23231405</v>
      </c>
      <c r="D33">
        <v>16945202</v>
      </c>
      <c r="E33">
        <v>1</v>
      </c>
      <c r="F33">
        <v>1</v>
      </c>
      <c r="G33">
        <v>16804826</v>
      </c>
      <c r="H33">
        <v>2</v>
      </c>
      <c r="I33" t="s">
        <v>226</v>
      </c>
      <c r="J33" t="s">
        <v>227</v>
      </c>
      <c r="K33" t="s">
        <v>228</v>
      </c>
      <c r="L33">
        <v>1368</v>
      </c>
      <c r="N33">
        <v>1011</v>
      </c>
      <c r="O33" t="s">
        <v>186</v>
      </c>
      <c r="P33" t="s">
        <v>186</v>
      </c>
      <c r="Q33">
        <v>1</v>
      </c>
      <c r="W33">
        <v>0</v>
      </c>
      <c r="X33">
        <v>714527484</v>
      </c>
      <c r="Y33">
        <v>0.34499999999999997</v>
      </c>
      <c r="AA33">
        <v>0</v>
      </c>
      <c r="AB33">
        <v>3219.01</v>
      </c>
      <c r="AC33">
        <v>1100.51</v>
      </c>
      <c r="AD33">
        <v>0</v>
      </c>
      <c r="AE33">
        <v>0</v>
      </c>
      <c r="AF33">
        <v>249.15</v>
      </c>
      <c r="AG33">
        <v>42.85</v>
      </c>
      <c r="AH33">
        <v>0</v>
      </c>
      <c r="AI33">
        <v>1</v>
      </c>
      <c r="AJ33">
        <v>12.34</v>
      </c>
      <c r="AK33">
        <v>24.53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0.3</v>
      </c>
      <c r="AU33" t="s">
        <v>37</v>
      </c>
      <c r="AV33">
        <v>0</v>
      </c>
      <c r="AW33">
        <v>2</v>
      </c>
      <c r="AX33">
        <v>23231421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4.1399999999999993E-4</v>
      </c>
      <c r="CY33">
        <f t="shared" si="9"/>
        <v>3219.01</v>
      </c>
      <c r="CZ33">
        <f t="shared" si="10"/>
        <v>249.15</v>
      </c>
      <c r="DA33">
        <f t="shared" si="11"/>
        <v>12.34</v>
      </c>
      <c r="DB33">
        <f t="shared" si="7"/>
        <v>85.962500000000006</v>
      </c>
      <c r="DC33">
        <f t="shared" si="8"/>
        <v>14.789</v>
      </c>
    </row>
    <row r="34" spans="1:107" x14ac:dyDescent="0.25">
      <c r="A34">
        <f>ROW(Source!A31)</f>
        <v>31</v>
      </c>
      <c r="B34">
        <v>23231056</v>
      </c>
      <c r="C34">
        <v>23231405</v>
      </c>
      <c r="D34">
        <v>16945186</v>
      </c>
      <c r="E34">
        <v>1</v>
      </c>
      <c r="F34">
        <v>1</v>
      </c>
      <c r="G34">
        <v>16804826</v>
      </c>
      <c r="H34">
        <v>2</v>
      </c>
      <c r="I34" t="s">
        <v>211</v>
      </c>
      <c r="J34" t="s">
        <v>229</v>
      </c>
      <c r="K34" t="s">
        <v>213</v>
      </c>
      <c r="L34">
        <v>1368</v>
      </c>
      <c r="N34">
        <v>1011</v>
      </c>
      <c r="O34" t="s">
        <v>186</v>
      </c>
      <c r="P34" t="s">
        <v>186</v>
      </c>
      <c r="Q34">
        <v>1</v>
      </c>
      <c r="W34">
        <v>0</v>
      </c>
      <c r="X34">
        <v>-1838829896</v>
      </c>
      <c r="Y34">
        <v>0.34499999999999997</v>
      </c>
      <c r="AA34">
        <v>0</v>
      </c>
      <c r="AB34">
        <v>1451.16</v>
      </c>
      <c r="AC34">
        <v>385.76</v>
      </c>
      <c r="AD34">
        <v>0</v>
      </c>
      <c r="AE34">
        <v>0</v>
      </c>
      <c r="AF34">
        <v>169.44</v>
      </c>
      <c r="AG34">
        <v>15.02</v>
      </c>
      <c r="AH34">
        <v>0</v>
      </c>
      <c r="AI34">
        <v>1</v>
      </c>
      <c r="AJ34">
        <v>8.18</v>
      </c>
      <c r="AK34">
        <v>24.53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0.3</v>
      </c>
      <c r="AU34" t="s">
        <v>37</v>
      </c>
      <c r="AV34">
        <v>0</v>
      </c>
      <c r="AW34">
        <v>2</v>
      </c>
      <c r="AX34">
        <v>23231422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4.1399999999999993E-4</v>
      </c>
      <c r="CY34">
        <f t="shared" si="9"/>
        <v>1451.16</v>
      </c>
      <c r="CZ34">
        <f t="shared" si="10"/>
        <v>169.44</v>
      </c>
      <c r="DA34">
        <f t="shared" si="11"/>
        <v>8.18</v>
      </c>
      <c r="DB34">
        <f t="shared" si="7"/>
        <v>58.454500000000003</v>
      </c>
      <c r="DC34">
        <f t="shared" si="8"/>
        <v>5.1864999999999997</v>
      </c>
    </row>
    <row r="35" spans="1:107" x14ac:dyDescent="0.25">
      <c r="A35">
        <f>ROW(Source!A31)</f>
        <v>31</v>
      </c>
      <c r="B35">
        <v>23231056</v>
      </c>
      <c r="C35">
        <v>23231405</v>
      </c>
      <c r="D35">
        <v>16945217</v>
      </c>
      <c r="E35">
        <v>1</v>
      </c>
      <c r="F35">
        <v>1</v>
      </c>
      <c r="G35">
        <v>16804826</v>
      </c>
      <c r="H35">
        <v>2</v>
      </c>
      <c r="I35" t="s">
        <v>230</v>
      </c>
      <c r="J35" t="s">
        <v>231</v>
      </c>
      <c r="K35" t="s">
        <v>232</v>
      </c>
      <c r="L35">
        <v>1368</v>
      </c>
      <c r="N35">
        <v>1011</v>
      </c>
      <c r="O35" t="s">
        <v>186</v>
      </c>
      <c r="P35" t="s">
        <v>186</v>
      </c>
      <c r="Q35">
        <v>1</v>
      </c>
      <c r="W35">
        <v>0</v>
      </c>
      <c r="X35">
        <v>-1025674698</v>
      </c>
      <c r="Y35">
        <v>0.34499999999999997</v>
      </c>
      <c r="AA35">
        <v>0</v>
      </c>
      <c r="AB35">
        <v>1217.1600000000001</v>
      </c>
      <c r="AC35">
        <v>729.39</v>
      </c>
      <c r="AD35">
        <v>0</v>
      </c>
      <c r="AE35">
        <v>0</v>
      </c>
      <c r="AF35">
        <v>124.6</v>
      </c>
      <c r="AG35">
        <v>28.4</v>
      </c>
      <c r="AH35">
        <v>0</v>
      </c>
      <c r="AI35">
        <v>1</v>
      </c>
      <c r="AJ35">
        <v>9.33</v>
      </c>
      <c r="AK35">
        <v>24.53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0.3</v>
      </c>
      <c r="AU35" t="s">
        <v>37</v>
      </c>
      <c r="AV35">
        <v>0</v>
      </c>
      <c r="AW35">
        <v>2</v>
      </c>
      <c r="AX35">
        <v>23231423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4.1399999999999993E-4</v>
      </c>
      <c r="CY35">
        <f t="shared" si="9"/>
        <v>1217.1600000000001</v>
      </c>
      <c r="CZ35">
        <f t="shared" si="10"/>
        <v>124.6</v>
      </c>
      <c r="DA35">
        <f t="shared" si="11"/>
        <v>9.33</v>
      </c>
      <c r="DB35">
        <f t="shared" si="7"/>
        <v>42.987000000000002</v>
      </c>
      <c r="DC35">
        <f t="shared" si="8"/>
        <v>9.798</v>
      </c>
    </row>
    <row r="36" spans="1:107" x14ac:dyDescent="0.25">
      <c r="A36">
        <f>ROW(Source!A31)</f>
        <v>31</v>
      </c>
      <c r="B36">
        <v>23231056</v>
      </c>
      <c r="C36">
        <v>23231405</v>
      </c>
      <c r="D36">
        <v>16945190</v>
      </c>
      <c r="E36">
        <v>1</v>
      </c>
      <c r="F36">
        <v>1</v>
      </c>
      <c r="G36">
        <v>16804826</v>
      </c>
      <c r="H36">
        <v>2</v>
      </c>
      <c r="I36" t="s">
        <v>233</v>
      </c>
      <c r="J36" t="s">
        <v>234</v>
      </c>
      <c r="K36" t="s">
        <v>235</v>
      </c>
      <c r="L36">
        <v>1368</v>
      </c>
      <c r="N36">
        <v>1011</v>
      </c>
      <c r="O36" t="s">
        <v>186</v>
      </c>
      <c r="P36" t="s">
        <v>186</v>
      </c>
      <c r="Q36">
        <v>1</v>
      </c>
      <c r="W36">
        <v>0</v>
      </c>
      <c r="X36">
        <v>-517439494</v>
      </c>
      <c r="Y36">
        <v>0.34499999999999997</v>
      </c>
      <c r="AA36">
        <v>0</v>
      </c>
      <c r="AB36">
        <v>1536.23</v>
      </c>
      <c r="AC36">
        <v>447.65</v>
      </c>
      <c r="AD36">
        <v>0</v>
      </c>
      <c r="AE36">
        <v>0</v>
      </c>
      <c r="AF36">
        <v>171.61</v>
      </c>
      <c r="AG36">
        <v>17.43</v>
      </c>
      <c r="AH36">
        <v>0</v>
      </c>
      <c r="AI36">
        <v>1</v>
      </c>
      <c r="AJ36">
        <v>8.5500000000000007</v>
      </c>
      <c r="AK36">
        <v>24.53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0.3</v>
      </c>
      <c r="AU36" t="s">
        <v>37</v>
      </c>
      <c r="AV36">
        <v>0</v>
      </c>
      <c r="AW36">
        <v>2</v>
      </c>
      <c r="AX36">
        <v>23231424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4.1399999999999993E-4</v>
      </c>
      <c r="CY36">
        <f t="shared" si="9"/>
        <v>1536.23</v>
      </c>
      <c r="CZ36">
        <f t="shared" si="10"/>
        <v>171.61</v>
      </c>
      <c r="DA36">
        <f t="shared" si="11"/>
        <v>8.5500000000000007</v>
      </c>
      <c r="DB36">
        <f t="shared" si="7"/>
        <v>59.201999999999998</v>
      </c>
      <c r="DC36">
        <f t="shared" si="8"/>
        <v>6.0145</v>
      </c>
    </row>
    <row r="37" spans="1:107" x14ac:dyDescent="0.25">
      <c r="A37">
        <f>ROW(Source!A31)</f>
        <v>31</v>
      </c>
      <c r="B37">
        <v>23231056</v>
      </c>
      <c r="C37">
        <v>23231405</v>
      </c>
      <c r="D37">
        <v>16945191</v>
      </c>
      <c r="E37">
        <v>1</v>
      </c>
      <c r="F37">
        <v>1</v>
      </c>
      <c r="G37">
        <v>16804826</v>
      </c>
      <c r="H37">
        <v>2</v>
      </c>
      <c r="I37" t="s">
        <v>202</v>
      </c>
      <c r="J37" t="s">
        <v>236</v>
      </c>
      <c r="K37" t="s">
        <v>204</v>
      </c>
      <c r="L37">
        <v>1368</v>
      </c>
      <c r="N37">
        <v>1011</v>
      </c>
      <c r="O37" t="s">
        <v>186</v>
      </c>
      <c r="P37" t="s">
        <v>186</v>
      </c>
      <c r="Q37">
        <v>1</v>
      </c>
      <c r="W37">
        <v>0</v>
      </c>
      <c r="X37">
        <v>904209742</v>
      </c>
      <c r="Y37">
        <v>1.0349999999999999</v>
      </c>
      <c r="AA37">
        <v>0</v>
      </c>
      <c r="AB37">
        <v>1581.88</v>
      </c>
      <c r="AC37">
        <v>447.4</v>
      </c>
      <c r="AD37">
        <v>0</v>
      </c>
      <c r="AE37">
        <v>0</v>
      </c>
      <c r="AF37">
        <v>177.54</v>
      </c>
      <c r="AG37">
        <v>17.420000000000002</v>
      </c>
      <c r="AH37">
        <v>0</v>
      </c>
      <c r="AI37">
        <v>1</v>
      </c>
      <c r="AJ37">
        <v>8.51</v>
      </c>
      <c r="AK37">
        <v>24.53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0.9</v>
      </c>
      <c r="AU37" t="s">
        <v>37</v>
      </c>
      <c r="AV37">
        <v>0</v>
      </c>
      <c r="AW37">
        <v>2</v>
      </c>
      <c r="AX37">
        <v>23231425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Y37*Source!I31</f>
        <v>1.2419999999999998E-3</v>
      </c>
      <c r="CY37">
        <f t="shared" si="9"/>
        <v>1581.88</v>
      </c>
      <c r="CZ37">
        <f t="shared" si="10"/>
        <v>177.54</v>
      </c>
      <c r="DA37">
        <f t="shared" si="11"/>
        <v>8.51</v>
      </c>
      <c r="DB37">
        <f t="shared" si="7"/>
        <v>183.7585</v>
      </c>
      <c r="DC37">
        <f t="shared" si="8"/>
        <v>18.032</v>
      </c>
    </row>
    <row r="38" spans="1:107" x14ac:dyDescent="0.25">
      <c r="A38">
        <f>ROW(Source!A31)</f>
        <v>31</v>
      </c>
      <c r="B38">
        <v>23231056</v>
      </c>
      <c r="C38">
        <v>23231405</v>
      </c>
      <c r="D38">
        <v>16950893</v>
      </c>
      <c r="E38">
        <v>1</v>
      </c>
      <c r="F38">
        <v>1</v>
      </c>
      <c r="G38">
        <v>16804826</v>
      </c>
      <c r="H38">
        <v>3</v>
      </c>
      <c r="I38" t="s">
        <v>237</v>
      </c>
      <c r="J38" t="s">
        <v>238</v>
      </c>
      <c r="K38" t="s">
        <v>239</v>
      </c>
      <c r="L38">
        <v>1348</v>
      </c>
      <c r="N38">
        <v>1009</v>
      </c>
      <c r="O38" t="s">
        <v>78</v>
      </c>
      <c r="P38" t="s">
        <v>78</v>
      </c>
      <c r="Q38">
        <v>1000</v>
      </c>
      <c r="W38">
        <v>0</v>
      </c>
      <c r="X38">
        <v>-1274242938</v>
      </c>
      <c r="Y38">
        <v>0.04</v>
      </c>
      <c r="AA38">
        <v>13518.88</v>
      </c>
      <c r="AB38">
        <v>0</v>
      </c>
      <c r="AC38">
        <v>0</v>
      </c>
      <c r="AD38">
        <v>0</v>
      </c>
      <c r="AE38">
        <v>1445.87</v>
      </c>
      <c r="AF38">
        <v>0</v>
      </c>
      <c r="AG38">
        <v>0</v>
      </c>
      <c r="AH38">
        <v>0</v>
      </c>
      <c r="AI38">
        <v>9.35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0.04</v>
      </c>
      <c r="AU38" t="s">
        <v>3</v>
      </c>
      <c r="AV38">
        <v>0</v>
      </c>
      <c r="AW38">
        <v>2</v>
      </c>
      <c r="AX38">
        <v>23231426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4.7999999999999994E-5</v>
      </c>
      <c r="CY38">
        <f>AA38</f>
        <v>13518.88</v>
      </c>
      <c r="CZ38">
        <f>AE38</f>
        <v>1445.87</v>
      </c>
      <c r="DA38">
        <f>AI38</f>
        <v>9.35</v>
      </c>
      <c r="DB38">
        <f>ROUND(ROUND(AT38*CZ38,2),6)</f>
        <v>57.83</v>
      </c>
      <c r="DC38">
        <f>ROUND(ROUND(AT38*AG38,2),6)</f>
        <v>0</v>
      </c>
    </row>
    <row r="39" spans="1:107" x14ac:dyDescent="0.25">
      <c r="A39">
        <f>ROW(Source!A31)</f>
        <v>31</v>
      </c>
      <c r="B39">
        <v>23231056</v>
      </c>
      <c r="C39">
        <v>23231405</v>
      </c>
      <c r="D39">
        <v>16950907</v>
      </c>
      <c r="E39">
        <v>1</v>
      </c>
      <c r="F39">
        <v>1</v>
      </c>
      <c r="G39">
        <v>16804826</v>
      </c>
      <c r="H39">
        <v>3</v>
      </c>
      <c r="I39" t="s">
        <v>76</v>
      </c>
      <c r="J39" t="s">
        <v>79</v>
      </c>
      <c r="K39" t="s">
        <v>77</v>
      </c>
      <c r="L39">
        <v>1348</v>
      </c>
      <c r="N39">
        <v>1009</v>
      </c>
      <c r="O39" t="s">
        <v>78</v>
      </c>
      <c r="P39" t="s">
        <v>78</v>
      </c>
      <c r="Q39">
        <v>1000</v>
      </c>
      <c r="W39">
        <v>0</v>
      </c>
      <c r="X39">
        <v>447298222</v>
      </c>
      <c r="Y39">
        <v>240</v>
      </c>
      <c r="AA39">
        <v>2694.04</v>
      </c>
      <c r="AB39">
        <v>0</v>
      </c>
      <c r="AC39">
        <v>0</v>
      </c>
      <c r="AD39">
        <v>0</v>
      </c>
      <c r="AE39">
        <v>296.7</v>
      </c>
      <c r="AF39">
        <v>0</v>
      </c>
      <c r="AG39">
        <v>0</v>
      </c>
      <c r="AH39">
        <v>0</v>
      </c>
      <c r="AI39">
        <v>9.08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3</v>
      </c>
      <c r="AT39">
        <v>240</v>
      </c>
      <c r="AU39" t="s">
        <v>3</v>
      </c>
      <c r="AV39">
        <v>0</v>
      </c>
      <c r="AW39">
        <v>1</v>
      </c>
      <c r="AX39">
        <v>-1</v>
      </c>
      <c r="AY39">
        <v>0</v>
      </c>
      <c r="AZ39">
        <v>0</v>
      </c>
      <c r="BA39" t="s">
        <v>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0.28799999999999998</v>
      </c>
      <c r="CY39">
        <f>AA39</f>
        <v>2694.04</v>
      </c>
      <c r="CZ39">
        <f>AE39</f>
        <v>296.7</v>
      </c>
      <c r="DA39">
        <f>AI39</f>
        <v>9.08</v>
      </c>
      <c r="DB39">
        <f>ROUND(ROUND(AT39*CZ39,2),6)</f>
        <v>71208</v>
      </c>
      <c r="DC39">
        <f>ROUND(ROUND(AT39*AG39,2),6)</f>
        <v>0</v>
      </c>
    </row>
    <row r="40" spans="1:107" x14ac:dyDescent="0.25">
      <c r="A40">
        <f>ROW(Source!A33)</f>
        <v>33</v>
      </c>
      <c r="B40">
        <v>23231056</v>
      </c>
      <c r="C40">
        <v>23231203</v>
      </c>
      <c r="D40">
        <v>16804829</v>
      </c>
      <c r="E40">
        <v>16804826</v>
      </c>
      <c r="F40">
        <v>1</v>
      </c>
      <c r="G40">
        <v>16804826</v>
      </c>
      <c r="H40">
        <v>1</v>
      </c>
      <c r="I40" t="s">
        <v>177</v>
      </c>
      <c r="J40" t="s">
        <v>3</v>
      </c>
      <c r="K40" t="s">
        <v>178</v>
      </c>
      <c r="L40">
        <v>1191</v>
      </c>
      <c r="N40">
        <v>1013</v>
      </c>
      <c r="O40" t="s">
        <v>179</v>
      </c>
      <c r="P40" t="s">
        <v>179</v>
      </c>
      <c r="Q40">
        <v>1</v>
      </c>
      <c r="W40">
        <v>0</v>
      </c>
      <c r="X40">
        <v>946207192</v>
      </c>
      <c r="Y40">
        <v>92.04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76.7</v>
      </c>
      <c r="AU40" t="s">
        <v>85</v>
      </c>
      <c r="AV40">
        <v>1</v>
      </c>
      <c r="AW40">
        <v>2</v>
      </c>
      <c r="AX40">
        <v>23231205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119.65200000000002</v>
      </c>
      <c r="CY40">
        <f>AD40</f>
        <v>0</v>
      </c>
      <c r="CZ40">
        <f>AH40</f>
        <v>0</v>
      </c>
      <c r="DA40">
        <f>AL40</f>
        <v>1</v>
      </c>
      <c r="DB40">
        <f>ROUND((ROUND(AT40*CZ40,2)*1.2),6)</f>
        <v>0</v>
      </c>
      <c r="DC40">
        <f>ROUND((ROUND(AT40*AG40,2)*1.2),6)</f>
        <v>0</v>
      </c>
    </row>
    <row r="41" spans="1:107" x14ac:dyDescent="0.25">
      <c r="A41">
        <f>ROW(Source!A34)</f>
        <v>34</v>
      </c>
      <c r="B41">
        <v>23231056</v>
      </c>
      <c r="C41">
        <v>23231206</v>
      </c>
      <c r="D41">
        <v>16804829</v>
      </c>
      <c r="E41">
        <v>16804826</v>
      </c>
      <c r="F41">
        <v>1</v>
      </c>
      <c r="G41">
        <v>16804826</v>
      </c>
      <c r="H41">
        <v>1</v>
      </c>
      <c r="I41" t="s">
        <v>177</v>
      </c>
      <c r="J41" t="s">
        <v>3</v>
      </c>
      <c r="K41" t="s">
        <v>178</v>
      </c>
      <c r="L41">
        <v>1191</v>
      </c>
      <c r="N41">
        <v>1013</v>
      </c>
      <c r="O41" t="s">
        <v>179</v>
      </c>
      <c r="P41" t="s">
        <v>179</v>
      </c>
      <c r="Q41">
        <v>1</v>
      </c>
      <c r="W41">
        <v>0</v>
      </c>
      <c r="X41">
        <v>946207192</v>
      </c>
      <c r="Y41">
        <v>72.955999999999989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63.44</v>
      </c>
      <c r="AU41" t="s">
        <v>37</v>
      </c>
      <c r="AV41">
        <v>1</v>
      </c>
      <c r="AW41">
        <v>2</v>
      </c>
      <c r="AX41">
        <v>23231216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7.2955999999999994</v>
      </c>
      <c r="CY41">
        <f>AD41</f>
        <v>0</v>
      </c>
      <c r="CZ41">
        <f>AH41</f>
        <v>0</v>
      </c>
      <c r="DA41">
        <f>AL41</f>
        <v>1</v>
      </c>
      <c r="DB41">
        <f>ROUND((ROUND(AT41*CZ41,2)*1.15),6)</f>
        <v>0</v>
      </c>
      <c r="DC41">
        <f>ROUND((ROUND(AT41*AG41,2)*1.15),6)</f>
        <v>0</v>
      </c>
    </row>
    <row r="42" spans="1:107" x14ac:dyDescent="0.25">
      <c r="A42">
        <f>ROW(Source!A34)</f>
        <v>34</v>
      </c>
      <c r="B42">
        <v>23231056</v>
      </c>
      <c r="C42">
        <v>23231206</v>
      </c>
      <c r="D42">
        <v>16945741</v>
      </c>
      <c r="E42">
        <v>1</v>
      </c>
      <c r="F42">
        <v>1</v>
      </c>
      <c r="G42">
        <v>16804826</v>
      </c>
      <c r="H42">
        <v>2</v>
      </c>
      <c r="I42" t="s">
        <v>240</v>
      </c>
      <c r="J42" t="s">
        <v>241</v>
      </c>
      <c r="K42" t="s">
        <v>242</v>
      </c>
      <c r="L42">
        <v>1368</v>
      </c>
      <c r="N42">
        <v>1011</v>
      </c>
      <c r="O42" t="s">
        <v>186</v>
      </c>
      <c r="P42" t="s">
        <v>186</v>
      </c>
      <c r="Q42">
        <v>1</v>
      </c>
      <c r="W42">
        <v>0</v>
      </c>
      <c r="X42">
        <v>-1289262214</v>
      </c>
      <c r="Y42">
        <v>0.161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9.35</v>
      </c>
      <c r="AK42">
        <v>24.53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0.14000000000000001</v>
      </c>
      <c r="AU42" t="s">
        <v>37</v>
      </c>
      <c r="AV42">
        <v>0</v>
      </c>
      <c r="AW42">
        <v>2</v>
      </c>
      <c r="AX42">
        <v>23231217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Y42*Source!I34</f>
        <v>1.61E-2</v>
      </c>
      <c r="CY42">
        <f>AB42</f>
        <v>0</v>
      </c>
      <c r="CZ42">
        <f>AF42</f>
        <v>0</v>
      </c>
      <c r="DA42">
        <f>AJ42</f>
        <v>9.35</v>
      </c>
      <c r="DB42">
        <f>ROUND((ROUND(AT42*CZ42,2)*1.15),6)</f>
        <v>0</v>
      </c>
      <c r="DC42">
        <f>ROUND((ROUND(AT42*AG42,2)*1.15),6)</f>
        <v>0</v>
      </c>
    </row>
    <row r="43" spans="1:107" x14ac:dyDescent="0.25">
      <c r="A43">
        <f>ROW(Source!A34)</f>
        <v>34</v>
      </c>
      <c r="B43">
        <v>23231056</v>
      </c>
      <c r="C43">
        <v>23231206</v>
      </c>
      <c r="D43">
        <v>16945031</v>
      </c>
      <c r="E43">
        <v>1</v>
      </c>
      <c r="F43">
        <v>1</v>
      </c>
      <c r="G43">
        <v>16804826</v>
      </c>
      <c r="H43">
        <v>2</v>
      </c>
      <c r="I43" t="s">
        <v>243</v>
      </c>
      <c r="J43" t="s">
        <v>244</v>
      </c>
      <c r="K43" t="s">
        <v>245</v>
      </c>
      <c r="L43">
        <v>1368</v>
      </c>
      <c r="N43">
        <v>1011</v>
      </c>
      <c r="O43" t="s">
        <v>186</v>
      </c>
      <c r="P43" t="s">
        <v>186</v>
      </c>
      <c r="Q43">
        <v>1</v>
      </c>
      <c r="W43">
        <v>0</v>
      </c>
      <c r="X43">
        <v>1373649140</v>
      </c>
      <c r="Y43">
        <v>0.161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10.45</v>
      </c>
      <c r="AK43">
        <v>24.53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0.14000000000000001</v>
      </c>
      <c r="AU43" t="s">
        <v>37</v>
      </c>
      <c r="AV43">
        <v>0</v>
      </c>
      <c r="AW43">
        <v>2</v>
      </c>
      <c r="AX43">
        <v>23231218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Y43*Source!I34</f>
        <v>1.61E-2</v>
      </c>
      <c r="CY43">
        <f>AB43</f>
        <v>0</v>
      </c>
      <c r="CZ43">
        <f>AF43</f>
        <v>0</v>
      </c>
      <c r="DA43">
        <f>AJ43</f>
        <v>10.45</v>
      </c>
      <c r="DB43">
        <f>ROUND((ROUND(AT43*CZ43,2)*1.15),6)</f>
        <v>0</v>
      </c>
      <c r="DC43">
        <f>ROUND((ROUND(AT43*AG43,2)*1.15),6)</f>
        <v>0</v>
      </c>
    </row>
    <row r="44" spans="1:107" x14ac:dyDescent="0.25">
      <c r="A44">
        <f>ROW(Source!A34)</f>
        <v>34</v>
      </c>
      <c r="B44">
        <v>23231056</v>
      </c>
      <c r="C44">
        <v>23231206</v>
      </c>
      <c r="D44">
        <v>16945117</v>
      </c>
      <c r="E44">
        <v>1</v>
      </c>
      <c r="F44">
        <v>1</v>
      </c>
      <c r="G44">
        <v>16804826</v>
      </c>
      <c r="H44">
        <v>2</v>
      </c>
      <c r="I44" t="s">
        <v>246</v>
      </c>
      <c r="J44" t="s">
        <v>247</v>
      </c>
      <c r="K44" t="s">
        <v>248</v>
      </c>
      <c r="L44">
        <v>1368</v>
      </c>
      <c r="N44">
        <v>1011</v>
      </c>
      <c r="O44" t="s">
        <v>186</v>
      </c>
      <c r="P44" t="s">
        <v>186</v>
      </c>
      <c r="Q44">
        <v>1</v>
      </c>
      <c r="W44">
        <v>0</v>
      </c>
      <c r="X44">
        <v>-912227093</v>
      </c>
      <c r="Y44">
        <v>0.253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9.4600000000000009</v>
      </c>
      <c r="AK44">
        <v>24.53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0.22</v>
      </c>
      <c r="AU44" t="s">
        <v>37</v>
      </c>
      <c r="AV44">
        <v>0</v>
      </c>
      <c r="AW44">
        <v>2</v>
      </c>
      <c r="AX44">
        <v>23231219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Y44*Source!I34</f>
        <v>2.5300000000000003E-2</v>
      </c>
      <c r="CY44">
        <f>AB44</f>
        <v>0</v>
      </c>
      <c r="CZ44">
        <f>AF44</f>
        <v>0</v>
      </c>
      <c r="DA44">
        <f>AJ44</f>
        <v>9.4600000000000009</v>
      </c>
      <c r="DB44">
        <f>ROUND((ROUND(AT44*CZ44,2)*1.15),6)</f>
        <v>0</v>
      </c>
      <c r="DC44">
        <f>ROUND((ROUND(AT44*AG44,2)*1.15),6)</f>
        <v>0</v>
      </c>
    </row>
    <row r="45" spans="1:107" x14ac:dyDescent="0.25">
      <c r="A45">
        <f>ROW(Source!A34)</f>
        <v>34</v>
      </c>
      <c r="B45">
        <v>23231056</v>
      </c>
      <c r="C45">
        <v>23231206</v>
      </c>
      <c r="D45">
        <v>16946367</v>
      </c>
      <c r="E45">
        <v>1</v>
      </c>
      <c r="F45">
        <v>1</v>
      </c>
      <c r="G45">
        <v>16804826</v>
      </c>
      <c r="H45">
        <v>3</v>
      </c>
      <c r="I45" t="s">
        <v>249</v>
      </c>
      <c r="J45" t="s">
        <v>250</v>
      </c>
      <c r="K45" t="s">
        <v>251</v>
      </c>
      <c r="L45">
        <v>1348</v>
      </c>
      <c r="N45">
        <v>1009</v>
      </c>
      <c r="O45" t="s">
        <v>78</v>
      </c>
      <c r="P45" t="s">
        <v>78</v>
      </c>
      <c r="Q45">
        <v>1000</v>
      </c>
      <c r="W45">
        <v>0</v>
      </c>
      <c r="X45">
        <v>-1423428334</v>
      </c>
      <c r="Y45">
        <v>1E-3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7.63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1E-3</v>
      </c>
      <c r="AU45" t="s">
        <v>3</v>
      </c>
      <c r="AV45">
        <v>0</v>
      </c>
      <c r="AW45">
        <v>2</v>
      </c>
      <c r="AX45">
        <v>23231220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Y45*Source!I34</f>
        <v>1E-4</v>
      </c>
      <c r="CY45">
        <f>AA45</f>
        <v>0</v>
      </c>
      <c r="CZ45">
        <f>AE45</f>
        <v>0</v>
      </c>
      <c r="DA45">
        <f>AI45</f>
        <v>7.63</v>
      </c>
      <c r="DB45">
        <f>ROUND(ROUND(AT45*CZ45,2),6)</f>
        <v>0</v>
      </c>
      <c r="DC45">
        <f>ROUND(ROUND(AT45*AG45,2),6)</f>
        <v>0</v>
      </c>
    </row>
    <row r="46" spans="1:107" x14ac:dyDescent="0.25">
      <c r="A46">
        <f>ROW(Source!A34)</f>
        <v>34</v>
      </c>
      <c r="B46">
        <v>23231056</v>
      </c>
      <c r="C46">
        <v>23231206</v>
      </c>
      <c r="D46">
        <v>16946470</v>
      </c>
      <c r="E46">
        <v>1</v>
      </c>
      <c r="F46">
        <v>1</v>
      </c>
      <c r="G46">
        <v>16804826</v>
      </c>
      <c r="H46">
        <v>3</v>
      </c>
      <c r="I46" t="s">
        <v>252</v>
      </c>
      <c r="J46" t="s">
        <v>253</v>
      </c>
      <c r="K46" t="s">
        <v>254</v>
      </c>
      <c r="L46">
        <v>1339</v>
      </c>
      <c r="N46">
        <v>1007</v>
      </c>
      <c r="O46" t="s">
        <v>45</v>
      </c>
      <c r="P46" t="s">
        <v>45</v>
      </c>
      <c r="Q46">
        <v>1</v>
      </c>
      <c r="W46">
        <v>0</v>
      </c>
      <c r="X46">
        <v>99505658</v>
      </c>
      <c r="Y46">
        <v>0.17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2.4700000000000002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0.17</v>
      </c>
      <c r="AU46" t="s">
        <v>3</v>
      </c>
      <c r="AV46">
        <v>0</v>
      </c>
      <c r="AW46">
        <v>2</v>
      </c>
      <c r="AX46">
        <v>23231221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Y46*Source!I34</f>
        <v>1.7000000000000001E-2</v>
      </c>
      <c r="CY46">
        <f>AA46</f>
        <v>0</v>
      </c>
      <c r="CZ46">
        <f>AE46</f>
        <v>0</v>
      </c>
      <c r="DA46">
        <f>AI46</f>
        <v>2.4700000000000002</v>
      </c>
      <c r="DB46">
        <f>ROUND(ROUND(AT46*CZ46,2),6)</f>
        <v>0</v>
      </c>
      <c r="DC46">
        <f>ROUND(ROUND(AT46*AG46,2),6)</f>
        <v>0</v>
      </c>
    </row>
    <row r="47" spans="1:107" x14ac:dyDescent="0.25">
      <c r="A47">
        <f>ROW(Source!A34)</f>
        <v>34</v>
      </c>
      <c r="B47">
        <v>23231056</v>
      </c>
      <c r="C47">
        <v>23231206</v>
      </c>
      <c r="D47">
        <v>16951269</v>
      </c>
      <c r="E47">
        <v>1</v>
      </c>
      <c r="F47">
        <v>1</v>
      </c>
      <c r="G47">
        <v>16804826</v>
      </c>
      <c r="H47">
        <v>3</v>
      </c>
      <c r="I47" t="s">
        <v>255</v>
      </c>
      <c r="J47" t="s">
        <v>256</v>
      </c>
      <c r="K47" t="s">
        <v>257</v>
      </c>
      <c r="L47">
        <v>1339</v>
      </c>
      <c r="N47">
        <v>1007</v>
      </c>
      <c r="O47" t="s">
        <v>45</v>
      </c>
      <c r="P47" t="s">
        <v>45</v>
      </c>
      <c r="Q47">
        <v>1</v>
      </c>
      <c r="W47">
        <v>0</v>
      </c>
      <c r="X47">
        <v>-193017344</v>
      </c>
      <c r="Y47">
        <v>4.8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5.52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4.8</v>
      </c>
      <c r="AU47" t="s">
        <v>3</v>
      </c>
      <c r="AV47">
        <v>0</v>
      </c>
      <c r="AW47">
        <v>2</v>
      </c>
      <c r="AX47">
        <v>23231222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Y47*Source!I34</f>
        <v>0.48</v>
      </c>
      <c r="CY47">
        <f>AA47</f>
        <v>0</v>
      </c>
      <c r="CZ47">
        <f>AE47</f>
        <v>0</v>
      </c>
      <c r="DA47">
        <f>AI47</f>
        <v>5.52</v>
      </c>
      <c r="DB47">
        <f>ROUND(ROUND(AT47*CZ47,2),6)</f>
        <v>0</v>
      </c>
      <c r="DC47">
        <f>ROUND(ROUND(AT47*AG47,2),6)</f>
        <v>0</v>
      </c>
    </row>
    <row r="48" spans="1:107" x14ac:dyDescent="0.25">
      <c r="A48">
        <f>ROW(Source!A34)</f>
        <v>34</v>
      </c>
      <c r="B48">
        <v>23231056</v>
      </c>
      <c r="C48">
        <v>23231206</v>
      </c>
      <c r="D48">
        <v>16951136</v>
      </c>
      <c r="E48">
        <v>1</v>
      </c>
      <c r="F48">
        <v>1</v>
      </c>
      <c r="G48">
        <v>16804826</v>
      </c>
      <c r="H48">
        <v>3</v>
      </c>
      <c r="I48" t="s">
        <v>258</v>
      </c>
      <c r="J48" t="s">
        <v>259</v>
      </c>
      <c r="K48" t="s">
        <v>260</v>
      </c>
      <c r="L48">
        <v>1339</v>
      </c>
      <c r="N48">
        <v>1007</v>
      </c>
      <c r="O48" t="s">
        <v>45</v>
      </c>
      <c r="P48" t="s">
        <v>45</v>
      </c>
      <c r="Q48">
        <v>1</v>
      </c>
      <c r="W48">
        <v>0</v>
      </c>
      <c r="X48">
        <v>-1859827725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6.99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0</v>
      </c>
      <c r="AW48">
        <v>2</v>
      </c>
      <c r="AX48">
        <v>23231223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Y48*Source!I34</f>
        <v>2E-3</v>
      </c>
      <c r="CY48">
        <f>AA48</f>
        <v>0</v>
      </c>
      <c r="CZ48">
        <f>AE48</f>
        <v>0</v>
      </c>
      <c r="DA48">
        <f>AI48</f>
        <v>6.99</v>
      </c>
      <c r="DB48">
        <f>ROUND(ROUND(AT48*CZ48,2),6)</f>
        <v>0</v>
      </c>
      <c r="DC48">
        <f>ROUND(ROUND(AT48*AG48,2),6)</f>
        <v>0</v>
      </c>
    </row>
    <row r="49" spans="1:107" x14ac:dyDescent="0.25">
      <c r="A49">
        <f>ROW(Source!A34)</f>
        <v>34</v>
      </c>
      <c r="B49">
        <v>23231056</v>
      </c>
      <c r="C49">
        <v>23231206</v>
      </c>
      <c r="D49">
        <v>16951952</v>
      </c>
      <c r="E49">
        <v>1</v>
      </c>
      <c r="F49">
        <v>1</v>
      </c>
      <c r="G49">
        <v>16804826</v>
      </c>
      <c r="H49">
        <v>3</v>
      </c>
      <c r="I49" t="s">
        <v>94</v>
      </c>
      <c r="J49" t="s">
        <v>96</v>
      </c>
      <c r="K49" t="s">
        <v>95</v>
      </c>
      <c r="L49">
        <v>1339</v>
      </c>
      <c r="N49">
        <v>1007</v>
      </c>
      <c r="O49" t="s">
        <v>45</v>
      </c>
      <c r="P49" t="s">
        <v>45</v>
      </c>
      <c r="Q49">
        <v>1</v>
      </c>
      <c r="W49">
        <v>0</v>
      </c>
      <c r="X49">
        <v>-551783718</v>
      </c>
      <c r="Y49">
        <v>3.2</v>
      </c>
      <c r="AA49">
        <v>13662.12</v>
      </c>
      <c r="AB49">
        <v>0</v>
      </c>
      <c r="AC49">
        <v>0</v>
      </c>
      <c r="AD49">
        <v>0</v>
      </c>
      <c r="AE49">
        <v>4406.71</v>
      </c>
      <c r="AF49">
        <v>0</v>
      </c>
      <c r="AG49">
        <v>0</v>
      </c>
      <c r="AH49">
        <v>0</v>
      </c>
      <c r="AI49">
        <v>3.01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3</v>
      </c>
      <c r="AT49">
        <v>3.2</v>
      </c>
      <c r="AU49" t="s">
        <v>3</v>
      </c>
      <c r="AV49">
        <v>0</v>
      </c>
      <c r="AW49">
        <v>1</v>
      </c>
      <c r="AX49">
        <v>-1</v>
      </c>
      <c r="AY49">
        <v>0</v>
      </c>
      <c r="AZ49">
        <v>0</v>
      </c>
      <c r="BA49" t="s">
        <v>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Y49*Source!I34</f>
        <v>0.32000000000000006</v>
      </c>
      <c r="CY49">
        <f>AA49</f>
        <v>13662.12</v>
      </c>
      <c r="CZ49">
        <f>AE49</f>
        <v>4406.71</v>
      </c>
      <c r="DA49">
        <f>AI49</f>
        <v>3.01</v>
      </c>
      <c r="DB49">
        <f>ROUND(ROUND(AT49*CZ49,2),6)</f>
        <v>14101.47</v>
      </c>
      <c r="DC49">
        <f>ROUND(ROUND(AT49*AG49,2),6)</f>
        <v>0</v>
      </c>
    </row>
    <row r="50" spans="1:107" x14ac:dyDescent="0.25">
      <c r="A50">
        <f>ROW(Source!A36)</f>
        <v>36</v>
      </c>
      <c r="B50">
        <v>23231056</v>
      </c>
      <c r="C50">
        <v>23231435</v>
      </c>
      <c r="D50">
        <v>16804829</v>
      </c>
      <c r="E50">
        <v>16804826</v>
      </c>
      <c r="F50">
        <v>1</v>
      </c>
      <c r="G50">
        <v>16804826</v>
      </c>
      <c r="H50">
        <v>1</v>
      </c>
      <c r="I50" t="s">
        <v>177</v>
      </c>
      <c r="J50" t="s">
        <v>3</v>
      </c>
      <c r="K50" t="s">
        <v>178</v>
      </c>
      <c r="L50">
        <v>1191</v>
      </c>
      <c r="N50">
        <v>1013</v>
      </c>
      <c r="O50" t="s">
        <v>179</v>
      </c>
      <c r="P50" t="s">
        <v>179</v>
      </c>
      <c r="Q50">
        <v>1</v>
      </c>
      <c r="W50">
        <v>0</v>
      </c>
      <c r="X50">
        <v>946207192</v>
      </c>
      <c r="Y50">
        <v>46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40</v>
      </c>
      <c r="AU50" t="s">
        <v>37</v>
      </c>
      <c r="AV50">
        <v>1</v>
      </c>
      <c r="AW50">
        <v>2</v>
      </c>
      <c r="AX50">
        <v>23231436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29.900000000000002</v>
      </c>
      <c r="CY50">
        <f>AD50</f>
        <v>0</v>
      </c>
      <c r="CZ50">
        <f>AH50</f>
        <v>0</v>
      </c>
      <c r="DA50">
        <f>AL50</f>
        <v>1</v>
      </c>
      <c r="DB50">
        <f>ROUND((ROUND(AT50*CZ50,2)*1.15),6)</f>
        <v>0</v>
      </c>
      <c r="DC50">
        <f>ROUND((ROUND(AT50*AG50,2)*1.15),6)</f>
        <v>0</v>
      </c>
    </row>
    <row r="51" spans="1:107" x14ac:dyDescent="0.25">
      <c r="A51">
        <f>ROW(Source!A36)</f>
        <v>36</v>
      </c>
      <c r="B51">
        <v>23231056</v>
      </c>
      <c r="C51">
        <v>23231435</v>
      </c>
      <c r="D51">
        <v>16951336</v>
      </c>
      <c r="E51">
        <v>1</v>
      </c>
      <c r="F51">
        <v>1</v>
      </c>
      <c r="G51">
        <v>16804826</v>
      </c>
      <c r="H51">
        <v>3</v>
      </c>
      <c r="I51" t="s">
        <v>104</v>
      </c>
      <c r="J51" t="s">
        <v>106</v>
      </c>
      <c r="K51" t="s">
        <v>105</v>
      </c>
      <c r="L51">
        <v>1339</v>
      </c>
      <c r="N51">
        <v>1007</v>
      </c>
      <c r="O51" t="s">
        <v>45</v>
      </c>
      <c r="P51" t="s">
        <v>45</v>
      </c>
      <c r="Q51">
        <v>1</v>
      </c>
      <c r="W51">
        <v>0</v>
      </c>
      <c r="X51">
        <v>-1500617653</v>
      </c>
      <c r="Y51">
        <v>15</v>
      </c>
      <c r="AA51">
        <v>656.37</v>
      </c>
      <c r="AB51">
        <v>0</v>
      </c>
      <c r="AC51">
        <v>0</v>
      </c>
      <c r="AD51">
        <v>0</v>
      </c>
      <c r="AE51">
        <v>146.84</v>
      </c>
      <c r="AF51">
        <v>0</v>
      </c>
      <c r="AG51">
        <v>0</v>
      </c>
      <c r="AH51">
        <v>0</v>
      </c>
      <c r="AI51">
        <v>4.47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3</v>
      </c>
      <c r="AT51">
        <v>15</v>
      </c>
      <c r="AU51" t="s">
        <v>3</v>
      </c>
      <c r="AV51">
        <v>0</v>
      </c>
      <c r="AW51">
        <v>1</v>
      </c>
      <c r="AX51">
        <v>-1</v>
      </c>
      <c r="AY51">
        <v>0</v>
      </c>
      <c r="AZ51">
        <v>0</v>
      </c>
      <c r="BA51" t="s">
        <v>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9.75</v>
      </c>
      <c r="CY51">
        <f>AA51</f>
        <v>656.37</v>
      </c>
      <c r="CZ51">
        <f>AE51</f>
        <v>146.84</v>
      </c>
      <c r="DA51">
        <f>AI51</f>
        <v>4.47</v>
      </c>
      <c r="DB51">
        <f>ROUND(ROUND(AT51*CZ51,2),6)</f>
        <v>2202.6</v>
      </c>
      <c r="DC51">
        <f>ROUND(ROUND(AT51*AG51,2),6)</f>
        <v>0</v>
      </c>
    </row>
    <row r="52" spans="1:107" x14ac:dyDescent="0.25">
      <c r="A52">
        <f>ROW(Source!A38)</f>
        <v>38</v>
      </c>
      <c r="B52">
        <v>23231056</v>
      </c>
      <c r="C52">
        <v>23231465</v>
      </c>
      <c r="D52">
        <v>16804829</v>
      </c>
      <c r="E52">
        <v>16804826</v>
      </c>
      <c r="F52">
        <v>1</v>
      </c>
      <c r="G52">
        <v>16804826</v>
      </c>
      <c r="H52">
        <v>1</v>
      </c>
      <c r="I52" t="s">
        <v>177</v>
      </c>
      <c r="J52" t="s">
        <v>3</v>
      </c>
      <c r="K52" t="s">
        <v>178</v>
      </c>
      <c r="L52">
        <v>1191</v>
      </c>
      <c r="N52">
        <v>1013</v>
      </c>
      <c r="O52" t="s">
        <v>179</v>
      </c>
      <c r="P52" t="s">
        <v>179</v>
      </c>
      <c r="Q52">
        <v>1</v>
      </c>
      <c r="W52">
        <v>0</v>
      </c>
      <c r="X52">
        <v>946207192</v>
      </c>
      <c r="Y52">
        <v>6.0374999999999996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5.25</v>
      </c>
      <c r="AU52" t="s">
        <v>37</v>
      </c>
      <c r="AV52">
        <v>1</v>
      </c>
      <c r="AW52">
        <v>2</v>
      </c>
      <c r="AX52">
        <v>23231466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3.9243749999999999</v>
      </c>
      <c r="CY52">
        <f>AD52</f>
        <v>0</v>
      </c>
      <c r="CZ52">
        <f>AH52</f>
        <v>0</v>
      </c>
      <c r="DA52">
        <f>AL52</f>
        <v>1</v>
      </c>
      <c r="DB52">
        <f>ROUND((ROUND(AT52*CZ52,2)*1.15),6)</f>
        <v>0</v>
      </c>
      <c r="DC52">
        <f>ROUND((ROUND(AT52*AG52,2)*1.15),6)</f>
        <v>0</v>
      </c>
    </row>
    <row r="53" spans="1:107" x14ac:dyDescent="0.25">
      <c r="A53">
        <f>ROW(Source!A38)</f>
        <v>38</v>
      </c>
      <c r="B53">
        <v>23231056</v>
      </c>
      <c r="C53">
        <v>23231465</v>
      </c>
      <c r="D53">
        <v>16946353</v>
      </c>
      <c r="E53">
        <v>1</v>
      </c>
      <c r="F53">
        <v>1</v>
      </c>
      <c r="G53">
        <v>16804826</v>
      </c>
      <c r="H53">
        <v>3</v>
      </c>
      <c r="I53" t="s">
        <v>205</v>
      </c>
      <c r="J53" t="s">
        <v>206</v>
      </c>
      <c r="K53" t="s">
        <v>207</v>
      </c>
      <c r="L53">
        <v>1339</v>
      </c>
      <c r="N53">
        <v>1007</v>
      </c>
      <c r="O53" t="s">
        <v>45</v>
      </c>
      <c r="P53" t="s">
        <v>45</v>
      </c>
      <c r="Q53">
        <v>1</v>
      </c>
      <c r="W53">
        <v>0</v>
      </c>
      <c r="X53">
        <v>55300385</v>
      </c>
      <c r="Y53">
        <v>10</v>
      </c>
      <c r="AA53">
        <v>35.28</v>
      </c>
      <c r="AB53">
        <v>0</v>
      </c>
      <c r="AC53">
        <v>0</v>
      </c>
      <c r="AD53">
        <v>0</v>
      </c>
      <c r="AE53">
        <v>7.07</v>
      </c>
      <c r="AF53">
        <v>0</v>
      </c>
      <c r="AG53">
        <v>0</v>
      </c>
      <c r="AH53">
        <v>0</v>
      </c>
      <c r="AI53">
        <v>4.99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10</v>
      </c>
      <c r="AU53" t="s">
        <v>3</v>
      </c>
      <c r="AV53">
        <v>0</v>
      </c>
      <c r="AW53">
        <v>2</v>
      </c>
      <c r="AX53">
        <v>23231467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6.5</v>
      </c>
      <c r="CY53">
        <f>AA53</f>
        <v>35.28</v>
      </c>
      <c r="CZ53">
        <f>AE53</f>
        <v>7.07</v>
      </c>
      <c r="DA53">
        <f>AI53</f>
        <v>4.99</v>
      </c>
      <c r="DB53">
        <f>ROUND(ROUND(AT53*CZ53,2),6)</f>
        <v>70.7</v>
      </c>
      <c r="DC53">
        <f>ROUND(ROUND(AT53*AG53,2),6)</f>
        <v>0</v>
      </c>
    </row>
    <row r="54" spans="1:107" x14ac:dyDescent="0.25">
      <c r="A54">
        <f>ROW(Source!A38)</f>
        <v>38</v>
      </c>
      <c r="B54">
        <v>23231056</v>
      </c>
      <c r="C54">
        <v>23231465</v>
      </c>
      <c r="D54">
        <v>16951342</v>
      </c>
      <c r="E54">
        <v>1</v>
      </c>
      <c r="F54">
        <v>1</v>
      </c>
      <c r="G54">
        <v>16804826</v>
      </c>
      <c r="H54">
        <v>3</v>
      </c>
      <c r="I54" t="s">
        <v>112</v>
      </c>
      <c r="J54" t="s">
        <v>115</v>
      </c>
      <c r="K54" t="s">
        <v>113</v>
      </c>
      <c r="L54">
        <v>1346</v>
      </c>
      <c r="N54">
        <v>1009</v>
      </c>
      <c r="O54" t="s">
        <v>114</v>
      </c>
      <c r="P54" t="s">
        <v>114</v>
      </c>
      <c r="Q54">
        <v>1</v>
      </c>
      <c r="W54">
        <v>0</v>
      </c>
      <c r="X54">
        <v>-1414983589</v>
      </c>
      <c r="Y54">
        <v>4</v>
      </c>
      <c r="AA54">
        <v>85.06</v>
      </c>
      <c r="AB54">
        <v>0</v>
      </c>
      <c r="AC54">
        <v>0</v>
      </c>
      <c r="AD54">
        <v>0</v>
      </c>
      <c r="AE54">
        <v>17.72</v>
      </c>
      <c r="AF54">
        <v>0</v>
      </c>
      <c r="AG54">
        <v>0</v>
      </c>
      <c r="AH54">
        <v>0</v>
      </c>
      <c r="AI54">
        <v>4.8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3</v>
      </c>
      <c r="AT54">
        <v>4</v>
      </c>
      <c r="AU54" t="s">
        <v>3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2.6</v>
      </c>
      <c r="CY54">
        <f>AA54</f>
        <v>85.06</v>
      </c>
      <c r="CZ54">
        <f>AE54</f>
        <v>17.72</v>
      </c>
      <c r="DA54">
        <f>AI54</f>
        <v>4.8</v>
      </c>
      <c r="DB54">
        <f>ROUND(ROUND(AT54*CZ54,2),6)</f>
        <v>70.88</v>
      </c>
      <c r="DC54">
        <f>ROUND(ROUND(AT54*AG54,2),6)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44" x14ac:dyDescent="0.25">
      <c r="A1">
        <f>ROW(Source!A24)</f>
        <v>24</v>
      </c>
      <c r="B1">
        <v>23231348</v>
      </c>
      <c r="C1">
        <v>23231347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177</v>
      </c>
      <c r="J1" t="s">
        <v>3</v>
      </c>
      <c r="K1" t="s">
        <v>178</v>
      </c>
      <c r="L1">
        <v>1191</v>
      </c>
      <c r="N1">
        <v>1013</v>
      </c>
      <c r="O1" t="s">
        <v>179</v>
      </c>
      <c r="P1" t="s">
        <v>179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27</v>
      </c>
      <c r="AG1">
        <v>193.75</v>
      </c>
      <c r="AH1">
        <v>2</v>
      </c>
      <c r="AI1">
        <v>23231348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5">
      <c r="A2">
        <f>ROW(Source!A24)</f>
        <v>24</v>
      </c>
      <c r="B2">
        <v>23231352</v>
      </c>
      <c r="C2">
        <v>23231347</v>
      </c>
      <c r="D2">
        <v>16808045</v>
      </c>
      <c r="E2">
        <v>16804826</v>
      </c>
      <c r="F2">
        <v>1</v>
      </c>
      <c r="G2">
        <v>16804826</v>
      </c>
      <c r="H2">
        <v>2</v>
      </c>
      <c r="I2" t="s">
        <v>180</v>
      </c>
      <c r="J2" t="s">
        <v>3</v>
      </c>
      <c r="K2" t="s">
        <v>181</v>
      </c>
      <c r="L2">
        <v>1344</v>
      </c>
      <c r="N2">
        <v>1008</v>
      </c>
      <c r="O2" t="s">
        <v>182</v>
      </c>
      <c r="P2" t="s">
        <v>182</v>
      </c>
      <c r="Q2">
        <v>1</v>
      </c>
      <c r="X2">
        <v>3.72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27</v>
      </c>
      <c r="AG2">
        <v>4.6500000000000004</v>
      </c>
      <c r="AH2">
        <v>2</v>
      </c>
      <c r="AI2">
        <v>23231352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5">
      <c r="A3">
        <f>ROW(Source!A24)</f>
        <v>24</v>
      </c>
      <c r="B3">
        <v>23231349</v>
      </c>
      <c r="C3">
        <v>23231347</v>
      </c>
      <c r="D3">
        <v>16945374</v>
      </c>
      <c r="E3">
        <v>1</v>
      </c>
      <c r="F3">
        <v>1</v>
      </c>
      <c r="G3">
        <v>16804826</v>
      </c>
      <c r="H3">
        <v>2</v>
      </c>
      <c r="I3" t="s">
        <v>183</v>
      </c>
      <c r="J3" t="s">
        <v>184</v>
      </c>
      <c r="K3" t="s">
        <v>185</v>
      </c>
      <c r="L3">
        <v>1368</v>
      </c>
      <c r="N3">
        <v>1011</v>
      </c>
      <c r="O3" t="s">
        <v>186</v>
      </c>
      <c r="P3" t="s">
        <v>186</v>
      </c>
      <c r="Q3">
        <v>1</v>
      </c>
      <c r="X3">
        <v>37.5</v>
      </c>
      <c r="Y3">
        <v>0</v>
      </c>
      <c r="Z3">
        <v>60.77</v>
      </c>
      <c r="AA3">
        <v>18.48</v>
      </c>
      <c r="AB3">
        <v>0</v>
      </c>
      <c r="AC3">
        <v>0</v>
      </c>
      <c r="AD3">
        <v>1</v>
      </c>
      <c r="AE3">
        <v>0</v>
      </c>
      <c r="AF3" t="s">
        <v>27</v>
      </c>
      <c r="AG3">
        <v>46.875</v>
      </c>
      <c r="AH3">
        <v>2</v>
      </c>
      <c r="AI3">
        <v>23231349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5">
      <c r="A4">
        <f>ROW(Source!A24)</f>
        <v>24</v>
      </c>
      <c r="B4">
        <v>23231350</v>
      </c>
      <c r="C4">
        <v>23231347</v>
      </c>
      <c r="D4">
        <v>16945813</v>
      </c>
      <c r="E4">
        <v>1</v>
      </c>
      <c r="F4">
        <v>1</v>
      </c>
      <c r="G4">
        <v>16804826</v>
      </c>
      <c r="H4">
        <v>2</v>
      </c>
      <c r="I4" t="s">
        <v>187</v>
      </c>
      <c r="J4" t="s">
        <v>188</v>
      </c>
      <c r="K4" t="s">
        <v>189</v>
      </c>
      <c r="L4">
        <v>1368</v>
      </c>
      <c r="N4">
        <v>1011</v>
      </c>
      <c r="O4" t="s">
        <v>186</v>
      </c>
      <c r="P4" t="s">
        <v>186</v>
      </c>
      <c r="Q4">
        <v>1</v>
      </c>
      <c r="X4">
        <v>75</v>
      </c>
      <c r="Y4">
        <v>0</v>
      </c>
      <c r="Z4">
        <v>3.16</v>
      </c>
      <c r="AA4">
        <v>0.04</v>
      </c>
      <c r="AB4">
        <v>0</v>
      </c>
      <c r="AC4">
        <v>0</v>
      </c>
      <c r="AD4">
        <v>1</v>
      </c>
      <c r="AE4">
        <v>0</v>
      </c>
      <c r="AF4" t="s">
        <v>27</v>
      </c>
      <c r="AG4">
        <v>93.75</v>
      </c>
      <c r="AH4">
        <v>2</v>
      </c>
      <c r="AI4">
        <v>23231350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5">
      <c r="A5">
        <f>ROW(Source!A24)</f>
        <v>24</v>
      </c>
      <c r="B5">
        <v>23231351</v>
      </c>
      <c r="C5">
        <v>23231347</v>
      </c>
      <c r="D5">
        <v>16945229</v>
      </c>
      <c r="E5">
        <v>1</v>
      </c>
      <c r="F5">
        <v>1</v>
      </c>
      <c r="G5">
        <v>16804826</v>
      </c>
      <c r="H5">
        <v>2</v>
      </c>
      <c r="I5" t="s">
        <v>190</v>
      </c>
      <c r="J5" t="s">
        <v>191</v>
      </c>
      <c r="K5" t="s">
        <v>192</v>
      </c>
      <c r="L5">
        <v>1368</v>
      </c>
      <c r="N5">
        <v>1011</v>
      </c>
      <c r="O5" t="s">
        <v>186</v>
      </c>
      <c r="P5" t="s">
        <v>186</v>
      </c>
      <c r="Q5">
        <v>1</v>
      </c>
      <c r="X5">
        <v>1.55</v>
      </c>
      <c r="Y5">
        <v>0</v>
      </c>
      <c r="Z5">
        <v>125.13</v>
      </c>
      <c r="AA5">
        <v>24.74</v>
      </c>
      <c r="AB5">
        <v>0</v>
      </c>
      <c r="AC5">
        <v>0</v>
      </c>
      <c r="AD5">
        <v>1</v>
      </c>
      <c r="AE5">
        <v>0</v>
      </c>
      <c r="AF5" t="s">
        <v>27</v>
      </c>
      <c r="AG5">
        <v>1.9375</v>
      </c>
      <c r="AH5">
        <v>2</v>
      </c>
      <c r="AI5">
        <v>23231351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5">
      <c r="A6">
        <f>ROW(Source!A25)</f>
        <v>25</v>
      </c>
      <c r="B6">
        <v>23231362</v>
      </c>
      <c r="C6">
        <v>23231353</v>
      </c>
      <c r="D6">
        <v>16804829</v>
      </c>
      <c r="E6">
        <v>16804826</v>
      </c>
      <c r="F6">
        <v>1</v>
      </c>
      <c r="G6">
        <v>16804826</v>
      </c>
      <c r="H6">
        <v>1</v>
      </c>
      <c r="I6" t="s">
        <v>177</v>
      </c>
      <c r="J6" t="s">
        <v>3</v>
      </c>
      <c r="K6" t="s">
        <v>178</v>
      </c>
      <c r="L6">
        <v>1191</v>
      </c>
      <c r="N6">
        <v>1013</v>
      </c>
      <c r="O6" t="s">
        <v>179</v>
      </c>
      <c r="P6" t="s">
        <v>179</v>
      </c>
      <c r="Q6">
        <v>1</v>
      </c>
      <c r="X6">
        <v>14.4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 t="s">
        <v>37</v>
      </c>
      <c r="AG6">
        <v>16.559999999999999</v>
      </c>
      <c r="AH6">
        <v>2</v>
      </c>
      <c r="AI6">
        <v>23231354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5">
      <c r="A7">
        <f>ROW(Source!A25)</f>
        <v>25</v>
      </c>
      <c r="B7">
        <v>23231363</v>
      </c>
      <c r="C7">
        <v>23231353</v>
      </c>
      <c r="D7">
        <v>16944987</v>
      </c>
      <c r="E7">
        <v>1</v>
      </c>
      <c r="F7">
        <v>1</v>
      </c>
      <c r="G7">
        <v>16804826</v>
      </c>
      <c r="H7">
        <v>2</v>
      </c>
      <c r="I7" t="s">
        <v>193</v>
      </c>
      <c r="J7" t="s">
        <v>194</v>
      </c>
      <c r="K7" t="s">
        <v>195</v>
      </c>
      <c r="L7">
        <v>1368</v>
      </c>
      <c r="N7">
        <v>1011</v>
      </c>
      <c r="O7" t="s">
        <v>186</v>
      </c>
      <c r="P7" t="s">
        <v>186</v>
      </c>
      <c r="Q7">
        <v>1</v>
      </c>
      <c r="X7">
        <v>1.66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37</v>
      </c>
      <c r="AG7">
        <v>1.9089999999999998</v>
      </c>
      <c r="AH7">
        <v>2</v>
      </c>
      <c r="AI7">
        <v>23231355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5">
      <c r="A8">
        <f>ROW(Source!A25)</f>
        <v>25</v>
      </c>
      <c r="B8">
        <v>23231364</v>
      </c>
      <c r="C8">
        <v>23231353</v>
      </c>
      <c r="D8">
        <v>16945198</v>
      </c>
      <c r="E8">
        <v>1</v>
      </c>
      <c r="F8">
        <v>1</v>
      </c>
      <c r="G8">
        <v>16804826</v>
      </c>
      <c r="H8">
        <v>2</v>
      </c>
      <c r="I8" t="s">
        <v>196</v>
      </c>
      <c r="J8" t="s">
        <v>197</v>
      </c>
      <c r="K8" t="s">
        <v>198</v>
      </c>
      <c r="L8">
        <v>1368</v>
      </c>
      <c r="N8">
        <v>1011</v>
      </c>
      <c r="O8" t="s">
        <v>186</v>
      </c>
      <c r="P8" t="s">
        <v>186</v>
      </c>
      <c r="Q8">
        <v>1</v>
      </c>
      <c r="X8">
        <v>1.66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37</v>
      </c>
      <c r="AG8">
        <v>1.9089999999999998</v>
      </c>
      <c r="AH8">
        <v>2</v>
      </c>
      <c r="AI8">
        <v>23231356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5">
      <c r="A9">
        <f>ROW(Source!A25)</f>
        <v>25</v>
      </c>
      <c r="B9">
        <v>23231365</v>
      </c>
      <c r="C9">
        <v>23231353</v>
      </c>
      <c r="D9">
        <v>16945201</v>
      </c>
      <c r="E9">
        <v>1</v>
      </c>
      <c r="F9">
        <v>1</v>
      </c>
      <c r="G9">
        <v>16804826</v>
      </c>
      <c r="H9">
        <v>2</v>
      </c>
      <c r="I9" t="s">
        <v>199</v>
      </c>
      <c r="J9" t="s">
        <v>200</v>
      </c>
      <c r="K9" t="s">
        <v>201</v>
      </c>
      <c r="L9">
        <v>1368</v>
      </c>
      <c r="N9">
        <v>1011</v>
      </c>
      <c r="O9" t="s">
        <v>186</v>
      </c>
      <c r="P9" t="s">
        <v>186</v>
      </c>
      <c r="Q9">
        <v>1</v>
      </c>
      <c r="X9">
        <v>0.65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37</v>
      </c>
      <c r="AG9">
        <v>0.74749999999999994</v>
      </c>
      <c r="AH9">
        <v>2</v>
      </c>
      <c r="AI9">
        <v>23231357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5">
      <c r="A10">
        <f>ROW(Source!A25)</f>
        <v>25</v>
      </c>
      <c r="B10">
        <v>23231366</v>
      </c>
      <c r="C10">
        <v>23231353</v>
      </c>
      <c r="D10">
        <v>16945229</v>
      </c>
      <c r="E10">
        <v>1</v>
      </c>
      <c r="F10">
        <v>1</v>
      </c>
      <c r="G10">
        <v>16804826</v>
      </c>
      <c r="H10">
        <v>2</v>
      </c>
      <c r="I10" t="s">
        <v>190</v>
      </c>
      <c r="J10" t="s">
        <v>191</v>
      </c>
      <c r="K10" t="s">
        <v>192</v>
      </c>
      <c r="L10">
        <v>1368</v>
      </c>
      <c r="N10">
        <v>1011</v>
      </c>
      <c r="O10" t="s">
        <v>186</v>
      </c>
      <c r="P10" t="s">
        <v>186</v>
      </c>
      <c r="Q10">
        <v>1</v>
      </c>
      <c r="X10">
        <v>1.55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37</v>
      </c>
      <c r="AG10">
        <v>1.7825</v>
      </c>
      <c r="AH10">
        <v>2</v>
      </c>
      <c r="AI10">
        <v>23231358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5">
      <c r="A11">
        <f>ROW(Source!A25)</f>
        <v>25</v>
      </c>
      <c r="B11">
        <v>23231367</v>
      </c>
      <c r="C11">
        <v>23231353</v>
      </c>
      <c r="D11">
        <v>16945191</v>
      </c>
      <c r="E11">
        <v>1</v>
      </c>
      <c r="F11">
        <v>1</v>
      </c>
      <c r="G11">
        <v>16804826</v>
      </c>
      <c r="H11">
        <v>2</v>
      </c>
      <c r="I11" t="s">
        <v>202</v>
      </c>
      <c r="J11" t="s">
        <v>203</v>
      </c>
      <c r="K11" t="s">
        <v>204</v>
      </c>
      <c r="L11">
        <v>1368</v>
      </c>
      <c r="N11">
        <v>1011</v>
      </c>
      <c r="O11" t="s">
        <v>186</v>
      </c>
      <c r="P11" t="s">
        <v>186</v>
      </c>
      <c r="Q11">
        <v>1</v>
      </c>
      <c r="X11">
        <v>0.52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37</v>
      </c>
      <c r="AG11">
        <v>0.59799999999999998</v>
      </c>
      <c r="AH11">
        <v>2</v>
      </c>
      <c r="AI11">
        <v>23231359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>
        <f>ROW(Source!A25)</f>
        <v>25</v>
      </c>
      <c r="B12">
        <v>23231368</v>
      </c>
      <c r="C12">
        <v>23231353</v>
      </c>
      <c r="D12">
        <v>16946353</v>
      </c>
      <c r="E12">
        <v>1</v>
      </c>
      <c r="F12">
        <v>1</v>
      </c>
      <c r="G12">
        <v>16804826</v>
      </c>
      <c r="H12">
        <v>3</v>
      </c>
      <c r="I12" t="s">
        <v>205</v>
      </c>
      <c r="J12" t="s">
        <v>206</v>
      </c>
      <c r="K12" t="s">
        <v>207</v>
      </c>
      <c r="L12">
        <v>1339</v>
      </c>
      <c r="N12">
        <v>1007</v>
      </c>
      <c r="O12" t="s">
        <v>45</v>
      </c>
      <c r="P12" t="s">
        <v>45</v>
      </c>
      <c r="Q12">
        <v>1</v>
      </c>
      <c r="X12">
        <v>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5</v>
      </c>
      <c r="AH12">
        <v>2</v>
      </c>
      <c r="AI12">
        <v>23231360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5">
      <c r="A13">
        <f>ROW(Source!A25)</f>
        <v>25</v>
      </c>
      <c r="B13">
        <v>23231369</v>
      </c>
      <c r="C13">
        <v>23231353</v>
      </c>
      <c r="D13">
        <v>16846082</v>
      </c>
      <c r="E13">
        <v>16804826</v>
      </c>
      <c r="F13">
        <v>1</v>
      </c>
      <c r="G13">
        <v>16804826</v>
      </c>
      <c r="H13">
        <v>3</v>
      </c>
      <c r="I13" t="s">
        <v>261</v>
      </c>
      <c r="J13" t="s">
        <v>3</v>
      </c>
      <c r="K13" t="s">
        <v>262</v>
      </c>
      <c r="L13">
        <v>1339</v>
      </c>
      <c r="N13">
        <v>1007</v>
      </c>
      <c r="O13" t="s">
        <v>45</v>
      </c>
      <c r="P13" t="s">
        <v>45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3</v>
      </c>
      <c r="AG13">
        <v>0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5">
      <c r="A14">
        <f>ROW(Source!A27)</f>
        <v>27</v>
      </c>
      <c r="B14">
        <v>23231381</v>
      </c>
      <c r="C14">
        <v>23231371</v>
      </c>
      <c r="D14">
        <v>16804829</v>
      </c>
      <c r="E14">
        <v>16804826</v>
      </c>
      <c r="F14">
        <v>1</v>
      </c>
      <c r="G14">
        <v>16804826</v>
      </c>
      <c r="H14">
        <v>1</v>
      </c>
      <c r="I14" t="s">
        <v>177</v>
      </c>
      <c r="J14" t="s">
        <v>3</v>
      </c>
      <c r="K14" t="s">
        <v>178</v>
      </c>
      <c r="L14">
        <v>1191</v>
      </c>
      <c r="N14">
        <v>1013</v>
      </c>
      <c r="O14" t="s">
        <v>179</v>
      </c>
      <c r="P14" t="s">
        <v>179</v>
      </c>
      <c r="Q14">
        <v>1</v>
      </c>
      <c r="X14">
        <v>21.6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37</v>
      </c>
      <c r="AG14">
        <v>24.84</v>
      </c>
      <c r="AH14">
        <v>2</v>
      </c>
      <c r="AI14">
        <v>23231372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5">
      <c r="A15">
        <f>ROW(Source!A27)</f>
        <v>27</v>
      </c>
      <c r="B15">
        <v>23231382</v>
      </c>
      <c r="C15">
        <v>23231371</v>
      </c>
      <c r="D15">
        <v>16944967</v>
      </c>
      <c r="E15">
        <v>1</v>
      </c>
      <c r="F15">
        <v>1</v>
      </c>
      <c r="G15">
        <v>16804826</v>
      </c>
      <c r="H15">
        <v>2</v>
      </c>
      <c r="I15" t="s">
        <v>208</v>
      </c>
      <c r="J15" t="s">
        <v>209</v>
      </c>
      <c r="K15" t="s">
        <v>210</v>
      </c>
      <c r="L15">
        <v>1368</v>
      </c>
      <c r="N15">
        <v>1011</v>
      </c>
      <c r="O15" t="s">
        <v>186</v>
      </c>
      <c r="P15" t="s">
        <v>186</v>
      </c>
      <c r="Q15">
        <v>1</v>
      </c>
      <c r="X15">
        <v>2.35</v>
      </c>
      <c r="Y15">
        <v>0</v>
      </c>
      <c r="Z15">
        <v>95.06</v>
      </c>
      <c r="AA15">
        <v>22.22</v>
      </c>
      <c r="AB15">
        <v>0</v>
      </c>
      <c r="AC15">
        <v>0</v>
      </c>
      <c r="AD15">
        <v>1</v>
      </c>
      <c r="AE15">
        <v>0</v>
      </c>
      <c r="AF15" t="s">
        <v>37</v>
      </c>
      <c r="AG15">
        <v>2.7024999999999997</v>
      </c>
      <c r="AH15">
        <v>2</v>
      </c>
      <c r="AI15">
        <v>23231373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>
        <f>ROW(Source!A27)</f>
        <v>27</v>
      </c>
      <c r="B16">
        <v>23231383</v>
      </c>
      <c r="C16">
        <v>23231371</v>
      </c>
      <c r="D16">
        <v>16945201</v>
      </c>
      <c r="E16">
        <v>1</v>
      </c>
      <c r="F16">
        <v>1</v>
      </c>
      <c r="G16">
        <v>16804826</v>
      </c>
      <c r="H16">
        <v>2</v>
      </c>
      <c r="I16" t="s">
        <v>199</v>
      </c>
      <c r="J16" t="s">
        <v>200</v>
      </c>
      <c r="K16" t="s">
        <v>201</v>
      </c>
      <c r="L16">
        <v>1368</v>
      </c>
      <c r="N16">
        <v>1011</v>
      </c>
      <c r="O16" t="s">
        <v>186</v>
      </c>
      <c r="P16" t="s">
        <v>186</v>
      </c>
      <c r="Q16">
        <v>1</v>
      </c>
      <c r="X16">
        <v>0.91</v>
      </c>
      <c r="Y16">
        <v>0</v>
      </c>
      <c r="Z16">
        <v>246.68</v>
      </c>
      <c r="AA16">
        <v>13.37</v>
      </c>
      <c r="AB16">
        <v>0</v>
      </c>
      <c r="AC16">
        <v>0</v>
      </c>
      <c r="AD16">
        <v>1</v>
      </c>
      <c r="AE16">
        <v>0</v>
      </c>
      <c r="AF16" t="s">
        <v>37</v>
      </c>
      <c r="AG16">
        <v>1.0465</v>
      </c>
      <c r="AH16">
        <v>2</v>
      </c>
      <c r="AI16">
        <v>23231374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>
        <f>ROW(Source!A27)</f>
        <v>27</v>
      </c>
      <c r="B17">
        <v>23231384</v>
      </c>
      <c r="C17">
        <v>23231371</v>
      </c>
      <c r="D17">
        <v>16945186</v>
      </c>
      <c r="E17">
        <v>1</v>
      </c>
      <c r="F17">
        <v>1</v>
      </c>
      <c r="G17">
        <v>16804826</v>
      </c>
      <c r="H17">
        <v>2</v>
      </c>
      <c r="I17" t="s">
        <v>211</v>
      </c>
      <c r="J17" t="s">
        <v>212</v>
      </c>
      <c r="K17" t="s">
        <v>213</v>
      </c>
      <c r="L17">
        <v>1368</v>
      </c>
      <c r="N17">
        <v>1011</v>
      </c>
      <c r="O17" t="s">
        <v>186</v>
      </c>
      <c r="P17" t="s">
        <v>186</v>
      </c>
      <c r="Q17">
        <v>1</v>
      </c>
      <c r="X17">
        <v>7.17</v>
      </c>
      <c r="Y17">
        <v>0</v>
      </c>
      <c r="Z17">
        <v>169.44</v>
      </c>
      <c r="AA17">
        <v>15.02</v>
      </c>
      <c r="AB17">
        <v>0</v>
      </c>
      <c r="AC17">
        <v>0</v>
      </c>
      <c r="AD17">
        <v>1</v>
      </c>
      <c r="AE17">
        <v>0</v>
      </c>
      <c r="AF17" t="s">
        <v>37</v>
      </c>
      <c r="AG17">
        <v>8.2454999999999998</v>
      </c>
      <c r="AH17">
        <v>2</v>
      </c>
      <c r="AI17">
        <v>23231375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>
        <f>ROW(Source!A27)</f>
        <v>27</v>
      </c>
      <c r="B18">
        <v>23231385</v>
      </c>
      <c r="C18">
        <v>23231371</v>
      </c>
      <c r="D18">
        <v>16945187</v>
      </c>
      <c r="E18">
        <v>1</v>
      </c>
      <c r="F18">
        <v>1</v>
      </c>
      <c r="G18">
        <v>16804826</v>
      </c>
      <c r="H18">
        <v>2</v>
      </c>
      <c r="I18" t="s">
        <v>214</v>
      </c>
      <c r="J18" t="s">
        <v>215</v>
      </c>
      <c r="K18" t="s">
        <v>216</v>
      </c>
      <c r="L18">
        <v>1368</v>
      </c>
      <c r="N18">
        <v>1011</v>
      </c>
      <c r="O18" t="s">
        <v>186</v>
      </c>
      <c r="P18" t="s">
        <v>186</v>
      </c>
      <c r="Q18">
        <v>1</v>
      </c>
      <c r="X18">
        <v>14.6</v>
      </c>
      <c r="Y18">
        <v>0</v>
      </c>
      <c r="Z18">
        <v>219.5</v>
      </c>
      <c r="AA18">
        <v>17.510000000000002</v>
      </c>
      <c r="AB18">
        <v>0</v>
      </c>
      <c r="AC18">
        <v>0</v>
      </c>
      <c r="AD18">
        <v>1</v>
      </c>
      <c r="AE18">
        <v>0</v>
      </c>
      <c r="AF18" t="s">
        <v>37</v>
      </c>
      <c r="AG18">
        <v>16.79</v>
      </c>
      <c r="AH18">
        <v>2</v>
      </c>
      <c r="AI18">
        <v>23231376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5">
      <c r="A19">
        <f>ROW(Source!A27)</f>
        <v>27</v>
      </c>
      <c r="B19">
        <v>23231386</v>
      </c>
      <c r="C19">
        <v>23231371</v>
      </c>
      <c r="D19">
        <v>16945229</v>
      </c>
      <c r="E19">
        <v>1</v>
      </c>
      <c r="F19">
        <v>1</v>
      </c>
      <c r="G19">
        <v>16804826</v>
      </c>
      <c r="H19">
        <v>2</v>
      </c>
      <c r="I19" t="s">
        <v>190</v>
      </c>
      <c r="J19" t="s">
        <v>191</v>
      </c>
      <c r="K19" t="s">
        <v>192</v>
      </c>
      <c r="L19">
        <v>1368</v>
      </c>
      <c r="N19">
        <v>1011</v>
      </c>
      <c r="O19" t="s">
        <v>186</v>
      </c>
      <c r="P19" t="s">
        <v>186</v>
      </c>
      <c r="Q19">
        <v>1</v>
      </c>
      <c r="X19">
        <v>1.79</v>
      </c>
      <c r="Y19">
        <v>0</v>
      </c>
      <c r="Z19">
        <v>125.13</v>
      </c>
      <c r="AA19">
        <v>24.74</v>
      </c>
      <c r="AB19">
        <v>0</v>
      </c>
      <c r="AC19">
        <v>0</v>
      </c>
      <c r="AD19">
        <v>1</v>
      </c>
      <c r="AE19">
        <v>0</v>
      </c>
      <c r="AF19" t="s">
        <v>37</v>
      </c>
      <c r="AG19">
        <v>2.0585</v>
      </c>
      <c r="AH19">
        <v>2</v>
      </c>
      <c r="AI19">
        <v>23231377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A20">
        <f>ROW(Source!A27)</f>
        <v>27</v>
      </c>
      <c r="B20">
        <v>23231387</v>
      </c>
      <c r="C20">
        <v>23231371</v>
      </c>
      <c r="D20">
        <v>16945191</v>
      </c>
      <c r="E20">
        <v>1</v>
      </c>
      <c r="F20">
        <v>1</v>
      </c>
      <c r="G20">
        <v>16804826</v>
      </c>
      <c r="H20">
        <v>2</v>
      </c>
      <c r="I20" t="s">
        <v>202</v>
      </c>
      <c r="J20" t="s">
        <v>203</v>
      </c>
      <c r="K20" t="s">
        <v>204</v>
      </c>
      <c r="L20">
        <v>1368</v>
      </c>
      <c r="N20">
        <v>1011</v>
      </c>
      <c r="O20" t="s">
        <v>186</v>
      </c>
      <c r="P20" t="s">
        <v>186</v>
      </c>
      <c r="Q20">
        <v>1</v>
      </c>
      <c r="X20">
        <v>0.52</v>
      </c>
      <c r="Y20">
        <v>0</v>
      </c>
      <c r="Z20">
        <v>177.54</v>
      </c>
      <c r="AA20">
        <v>17.420000000000002</v>
      </c>
      <c r="AB20">
        <v>0</v>
      </c>
      <c r="AC20">
        <v>0</v>
      </c>
      <c r="AD20">
        <v>1</v>
      </c>
      <c r="AE20">
        <v>0</v>
      </c>
      <c r="AF20" t="s">
        <v>37</v>
      </c>
      <c r="AG20">
        <v>0.59799999999999998</v>
      </c>
      <c r="AH20">
        <v>2</v>
      </c>
      <c r="AI20">
        <v>23231378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5">
      <c r="A21">
        <f>ROW(Source!A27)</f>
        <v>27</v>
      </c>
      <c r="B21">
        <v>23231388</v>
      </c>
      <c r="C21">
        <v>23231371</v>
      </c>
      <c r="D21">
        <v>16946353</v>
      </c>
      <c r="E21">
        <v>1</v>
      </c>
      <c r="F21">
        <v>1</v>
      </c>
      <c r="G21">
        <v>16804826</v>
      </c>
      <c r="H21">
        <v>3</v>
      </c>
      <c r="I21" t="s">
        <v>205</v>
      </c>
      <c r="J21" t="s">
        <v>206</v>
      </c>
      <c r="K21" t="s">
        <v>207</v>
      </c>
      <c r="L21">
        <v>1339</v>
      </c>
      <c r="N21">
        <v>1007</v>
      </c>
      <c r="O21" t="s">
        <v>45</v>
      </c>
      <c r="P21" t="s">
        <v>45</v>
      </c>
      <c r="Q21">
        <v>1</v>
      </c>
      <c r="X21">
        <v>7</v>
      </c>
      <c r="Y21">
        <v>7.07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7</v>
      </c>
      <c r="AH21">
        <v>2</v>
      </c>
      <c r="AI21">
        <v>23231379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A22">
        <f>ROW(Source!A27)</f>
        <v>27</v>
      </c>
      <c r="B22">
        <v>23231389</v>
      </c>
      <c r="C22">
        <v>23231371</v>
      </c>
      <c r="D22">
        <v>16845881</v>
      </c>
      <c r="E22">
        <v>16804826</v>
      </c>
      <c r="F22">
        <v>1</v>
      </c>
      <c r="G22">
        <v>16804826</v>
      </c>
      <c r="H22">
        <v>3</v>
      </c>
      <c r="I22" t="s">
        <v>263</v>
      </c>
      <c r="J22" t="s">
        <v>3</v>
      </c>
      <c r="K22" t="s">
        <v>264</v>
      </c>
      <c r="L22">
        <v>1339</v>
      </c>
      <c r="N22">
        <v>1007</v>
      </c>
      <c r="O22" t="s">
        <v>45</v>
      </c>
      <c r="P22" t="s">
        <v>45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t="s">
        <v>3</v>
      </c>
      <c r="AG22">
        <v>0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5">
      <c r="A23">
        <f>ROW(Source!A29)</f>
        <v>29</v>
      </c>
      <c r="B23">
        <v>23231395</v>
      </c>
      <c r="C23">
        <v>23231391</v>
      </c>
      <c r="D23">
        <v>16804829</v>
      </c>
      <c r="E23">
        <v>16804826</v>
      </c>
      <c r="F23">
        <v>1</v>
      </c>
      <c r="G23">
        <v>16804826</v>
      </c>
      <c r="H23">
        <v>1</v>
      </c>
      <c r="I23" t="s">
        <v>177</v>
      </c>
      <c r="J23" t="s">
        <v>3</v>
      </c>
      <c r="K23" t="s">
        <v>178</v>
      </c>
      <c r="L23">
        <v>1191</v>
      </c>
      <c r="N23">
        <v>1013</v>
      </c>
      <c r="O23" t="s">
        <v>179</v>
      </c>
      <c r="P23" t="s">
        <v>179</v>
      </c>
      <c r="Q23">
        <v>1</v>
      </c>
      <c r="X23">
        <v>12.9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37</v>
      </c>
      <c r="AG23">
        <v>14.834999999999999</v>
      </c>
      <c r="AH23">
        <v>2</v>
      </c>
      <c r="AI23">
        <v>23231392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>
        <f>ROW(Source!A29)</f>
        <v>29</v>
      </c>
      <c r="B24">
        <v>23231396</v>
      </c>
      <c r="C24">
        <v>23231391</v>
      </c>
      <c r="D24">
        <v>16945374</v>
      </c>
      <c r="E24">
        <v>1</v>
      </c>
      <c r="F24">
        <v>1</v>
      </c>
      <c r="G24">
        <v>16804826</v>
      </c>
      <c r="H24">
        <v>2</v>
      </c>
      <c r="I24" t="s">
        <v>183</v>
      </c>
      <c r="J24" t="s">
        <v>184</v>
      </c>
      <c r="K24" t="s">
        <v>217</v>
      </c>
      <c r="L24">
        <v>1368</v>
      </c>
      <c r="N24">
        <v>1011</v>
      </c>
      <c r="O24" t="s">
        <v>186</v>
      </c>
      <c r="P24" t="s">
        <v>186</v>
      </c>
      <c r="Q24">
        <v>1</v>
      </c>
      <c r="X24">
        <v>12.5</v>
      </c>
      <c r="Y24">
        <v>0</v>
      </c>
      <c r="Z24">
        <v>60.77</v>
      </c>
      <c r="AA24">
        <v>18.48</v>
      </c>
      <c r="AB24">
        <v>0</v>
      </c>
      <c r="AC24">
        <v>0</v>
      </c>
      <c r="AD24">
        <v>1</v>
      </c>
      <c r="AE24">
        <v>0</v>
      </c>
      <c r="AF24" t="s">
        <v>37</v>
      </c>
      <c r="AG24">
        <v>14.374999999999998</v>
      </c>
      <c r="AH24">
        <v>2</v>
      </c>
      <c r="AI24">
        <v>23231393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5">
      <c r="A25">
        <f>ROW(Source!A29)</f>
        <v>29</v>
      </c>
      <c r="B25">
        <v>23231397</v>
      </c>
      <c r="C25">
        <v>23231391</v>
      </c>
      <c r="D25">
        <v>16945764</v>
      </c>
      <c r="E25">
        <v>1</v>
      </c>
      <c r="F25">
        <v>1</v>
      </c>
      <c r="G25">
        <v>16804826</v>
      </c>
      <c r="H25">
        <v>2</v>
      </c>
      <c r="I25" t="s">
        <v>218</v>
      </c>
      <c r="J25" t="s">
        <v>219</v>
      </c>
      <c r="K25" t="s">
        <v>220</v>
      </c>
      <c r="L25">
        <v>1368</v>
      </c>
      <c r="N25">
        <v>1011</v>
      </c>
      <c r="O25" t="s">
        <v>186</v>
      </c>
      <c r="P25" t="s">
        <v>186</v>
      </c>
      <c r="Q25">
        <v>1</v>
      </c>
      <c r="X25">
        <v>12.5</v>
      </c>
      <c r="Y25">
        <v>0</v>
      </c>
      <c r="Z25">
        <v>0.56000000000000005</v>
      </c>
      <c r="AA25">
        <v>0.09</v>
      </c>
      <c r="AB25">
        <v>0</v>
      </c>
      <c r="AC25">
        <v>0</v>
      </c>
      <c r="AD25">
        <v>1</v>
      </c>
      <c r="AE25">
        <v>0</v>
      </c>
      <c r="AF25" t="s">
        <v>37</v>
      </c>
      <c r="AG25">
        <v>14.374999999999998</v>
      </c>
      <c r="AH25">
        <v>2</v>
      </c>
      <c r="AI25">
        <v>23231394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>
        <f>ROW(Source!A30)</f>
        <v>30</v>
      </c>
      <c r="B26">
        <v>23231402</v>
      </c>
      <c r="C26">
        <v>23231398</v>
      </c>
      <c r="D26">
        <v>16804829</v>
      </c>
      <c r="E26">
        <v>16804826</v>
      </c>
      <c r="F26">
        <v>1</v>
      </c>
      <c r="G26">
        <v>16804826</v>
      </c>
      <c r="H26">
        <v>1</v>
      </c>
      <c r="I26" t="s">
        <v>177</v>
      </c>
      <c r="J26" t="s">
        <v>3</v>
      </c>
      <c r="K26" t="s">
        <v>178</v>
      </c>
      <c r="L26">
        <v>1191</v>
      </c>
      <c r="N26">
        <v>1013</v>
      </c>
      <c r="O26" t="s">
        <v>179</v>
      </c>
      <c r="P26" t="s">
        <v>179</v>
      </c>
      <c r="Q26">
        <v>1</v>
      </c>
      <c r="X26">
        <v>12.2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37</v>
      </c>
      <c r="AG26">
        <v>14.029999999999998</v>
      </c>
      <c r="AH26">
        <v>2</v>
      </c>
      <c r="AI26">
        <v>23231399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>
        <f>ROW(Source!A30)</f>
        <v>30</v>
      </c>
      <c r="B27">
        <v>23231403</v>
      </c>
      <c r="C27">
        <v>23231398</v>
      </c>
      <c r="D27">
        <v>16945201</v>
      </c>
      <c r="E27">
        <v>1</v>
      </c>
      <c r="F27">
        <v>1</v>
      </c>
      <c r="G27">
        <v>16804826</v>
      </c>
      <c r="H27">
        <v>2</v>
      </c>
      <c r="I27" t="s">
        <v>199</v>
      </c>
      <c r="J27" t="s">
        <v>200</v>
      </c>
      <c r="K27" t="s">
        <v>201</v>
      </c>
      <c r="L27">
        <v>1368</v>
      </c>
      <c r="N27">
        <v>1011</v>
      </c>
      <c r="O27" t="s">
        <v>186</v>
      </c>
      <c r="P27" t="s">
        <v>186</v>
      </c>
      <c r="Q27">
        <v>1</v>
      </c>
      <c r="X27">
        <v>12.2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37</v>
      </c>
      <c r="AG27">
        <v>14.029999999999998</v>
      </c>
      <c r="AH27">
        <v>2</v>
      </c>
      <c r="AI27">
        <v>23231400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5">
      <c r="A28">
        <f>ROW(Source!A30)</f>
        <v>30</v>
      </c>
      <c r="B28">
        <v>23231404</v>
      </c>
      <c r="C28">
        <v>23231398</v>
      </c>
      <c r="D28">
        <v>16946353</v>
      </c>
      <c r="E28">
        <v>1</v>
      </c>
      <c r="F28">
        <v>1</v>
      </c>
      <c r="G28">
        <v>16804826</v>
      </c>
      <c r="H28">
        <v>3</v>
      </c>
      <c r="I28" t="s">
        <v>205</v>
      </c>
      <c r="J28" t="s">
        <v>206</v>
      </c>
      <c r="K28" t="s">
        <v>207</v>
      </c>
      <c r="L28">
        <v>1339</v>
      </c>
      <c r="N28">
        <v>1007</v>
      </c>
      <c r="O28" t="s">
        <v>45</v>
      </c>
      <c r="P28" t="s">
        <v>45</v>
      </c>
      <c r="Q28">
        <v>1</v>
      </c>
      <c r="X28">
        <v>100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100</v>
      </c>
      <c r="AH28">
        <v>2</v>
      </c>
      <c r="AI28">
        <v>23231401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5">
      <c r="A29">
        <f>ROW(Source!A31)</f>
        <v>31</v>
      </c>
      <c r="B29">
        <v>23231417</v>
      </c>
      <c r="C29">
        <v>23231405</v>
      </c>
      <c r="D29">
        <v>16804829</v>
      </c>
      <c r="E29">
        <v>16804826</v>
      </c>
      <c r="F29">
        <v>1</v>
      </c>
      <c r="G29">
        <v>16804826</v>
      </c>
      <c r="H29">
        <v>1</v>
      </c>
      <c r="I29" t="s">
        <v>177</v>
      </c>
      <c r="J29" t="s">
        <v>3</v>
      </c>
      <c r="K29" t="s">
        <v>178</v>
      </c>
      <c r="L29">
        <v>1191</v>
      </c>
      <c r="N29">
        <v>1013</v>
      </c>
      <c r="O29" t="s">
        <v>179</v>
      </c>
      <c r="P29" t="s">
        <v>179</v>
      </c>
      <c r="Q29">
        <v>1</v>
      </c>
      <c r="X29">
        <v>4.29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 t="s">
        <v>37</v>
      </c>
      <c r="AG29">
        <v>4.9334999999999996</v>
      </c>
      <c r="AH29">
        <v>2</v>
      </c>
      <c r="AI29">
        <v>23231406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5">
      <c r="A30">
        <f>ROW(Source!A31)</f>
        <v>31</v>
      </c>
      <c r="B30">
        <v>23231418</v>
      </c>
      <c r="C30">
        <v>23231405</v>
      </c>
      <c r="D30">
        <v>16945374</v>
      </c>
      <c r="E30">
        <v>1</v>
      </c>
      <c r="F30">
        <v>1</v>
      </c>
      <c r="G30">
        <v>16804826</v>
      </c>
      <c r="H30">
        <v>2</v>
      </c>
      <c r="I30" t="s">
        <v>183</v>
      </c>
      <c r="J30" t="s">
        <v>184</v>
      </c>
      <c r="K30" t="s">
        <v>185</v>
      </c>
      <c r="L30">
        <v>1368</v>
      </c>
      <c r="N30">
        <v>1011</v>
      </c>
      <c r="O30" t="s">
        <v>186</v>
      </c>
      <c r="P30" t="s">
        <v>186</v>
      </c>
      <c r="Q30">
        <v>1</v>
      </c>
      <c r="X30">
        <v>0.3</v>
      </c>
      <c r="Y30">
        <v>0</v>
      </c>
      <c r="Z30">
        <v>60.77</v>
      </c>
      <c r="AA30">
        <v>18.48</v>
      </c>
      <c r="AB30">
        <v>0</v>
      </c>
      <c r="AC30">
        <v>0</v>
      </c>
      <c r="AD30">
        <v>1</v>
      </c>
      <c r="AE30">
        <v>0</v>
      </c>
      <c r="AF30" t="s">
        <v>37</v>
      </c>
      <c r="AG30">
        <v>0.34499999999999997</v>
      </c>
      <c r="AH30">
        <v>2</v>
      </c>
      <c r="AI30">
        <v>23231407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5">
      <c r="A31">
        <f>ROW(Source!A31)</f>
        <v>31</v>
      </c>
      <c r="B31">
        <v>23231419</v>
      </c>
      <c r="C31">
        <v>23231405</v>
      </c>
      <c r="D31">
        <v>16945113</v>
      </c>
      <c r="E31">
        <v>1</v>
      </c>
      <c r="F31">
        <v>1</v>
      </c>
      <c r="G31">
        <v>16804826</v>
      </c>
      <c r="H31">
        <v>2</v>
      </c>
      <c r="I31" t="s">
        <v>221</v>
      </c>
      <c r="J31" t="s">
        <v>222</v>
      </c>
      <c r="K31" t="s">
        <v>223</v>
      </c>
      <c r="L31">
        <v>1368</v>
      </c>
      <c r="N31">
        <v>1011</v>
      </c>
      <c r="O31" t="s">
        <v>186</v>
      </c>
      <c r="P31" t="s">
        <v>186</v>
      </c>
      <c r="Q31">
        <v>1</v>
      </c>
      <c r="X31">
        <v>0.3</v>
      </c>
      <c r="Y31">
        <v>0</v>
      </c>
      <c r="Z31">
        <v>106.74</v>
      </c>
      <c r="AA31">
        <v>19.2</v>
      </c>
      <c r="AB31">
        <v>0</v>
      </c>
      <c r="AC31">
        <v>0</v>
      </c>
      <c r="AD31">
        <v>1</v>
      </c>
      <c r="AE31">
        <v>0</v>
      </c>
      <c r="AF31" t="s">
        <v>37</v>
      </c>
      <c r="AG31">
        <v>0.34499999999999997</v>
      </c>
      <c r="AH31">
        <v>2</v>
      </c>
      <c r="AI31">
        <v>23231408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5">
      <c r="A32">
        <f>ROW(Source!A31)</f>
        <v>31</v>
      </c>
      <c r="B32">
        <v>23231420</v>
      </c>
      <c r="C32">
        <v>23231405</v>
      </c>
      <c r="D32">
        <v>16945201</v>
      </c>
      <c r="E32">
        <v>1</v>
      </c>
      <c r="F32">
        <v>1</v>
      </c>
      <c r="G32">
        <v>16804826</v>
      </c>
      <c r="H32">
        <v>2</v>
      </c>
      <c r="I32" t="s">
        <v>199</v>
      </c>
      <c r="J32" t="s">
        <v>224</v>
      </c>
      <c r="K32" t="s">
        <v>225</v>
      </c>
      <c r="L32">
        <v>1368</v>
      </c>
      <c r="N32">
        <v>1011</v>
      </c>
      <c r="O32" t="s">
        <v>186</v>
      </c>
      <c r="P32" t="s">
        <v>186</v>
      </c>
      <c r="Q32">
        <v>1</v>
      </c>
      <c r="X32">
        <v>0.3</v>
      </c>
      <c r="Y32">
        <v>0</v>
      </c>
      <c r="Z32">
        <v>246.68</v>
      </c>
      <c r="AA32">
        <v>13.37</v>
      </c>
      <c r="AB32">
        <v>0</v>
      </c>
      <c r="AC32">
        <v>0</v>
      </c>
      <c r="AD32">
        <v>1</v>
      </c>
      <c r="AE32">
        <v>0</v>
      </c>
      <c r="AF32" t="s">
        <v>37</v>
      </c>
      <c r="AG32">
        <v>0.34499999999999997</v>
      </c>
      <c r="AH32">
        <v>2</v>
      </c>
      <c r="AI32">
        <v>23231409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5">
      <c r="A33">
        <f>ROW(Source!A31)</f>
        <v>31</v>
      </c>
      <c r="B33">
        <v>23231421</v>
      </c>
      <c r="C33">
        <v>23231405</v>
      </c>
      <c r="D33">
        <v>16945202</v>
      </c>
      <c r="E33">
        <v>1</v>
      </c>
      <c r="F33">
        <v>1</v>
      </c>
      <c r="G33">
        <v>16804826</v>
      </c>
      <c r="H33">
        <v>2</v>
      </c>
      <c r="I33" t="s">
        <v>226</v>
      </c>
      <c r="J33" t="s">
        <v>227</v>
      </c>
      <c r="K33" t="s">
        <v>228</v>
      </c>
      <c r="L33">
        <v>1368</v>
      </c>
      <c r="N33">
        <v>1011</v>
      </c>
      <c r="O33" t="s">
        <v>186</v>
      </c>
      <c r="P33" t="s">
        <v>186</v>
      </c>
      <c r="Q33">
        <v>1</v>
      </c>
      <c r="X33">
        <v>0.3</v>
      </c>
      <c r="Y33">
        <v>0</v>
      </c>
      <c r="Z33">
        <v>249.15</v>
      </c>
      <c r="AA33">
        <v>42.85</v>
      </c>
      <c r="AB33">
        <v>0</v>
      </c>
      <c r="AC33">
        <v>0</v>
      </c>
      <c r="AD33">
        <v>1</v>
      </c>
      <c r="AE33">
        <v>0</v>
      </c>
      <c r="AF33" t="s">
        <v>37</v>
      </c>
      <c r="AG33">
        <v>0.34499999999999997</v>
      </c>
      <c r="AH33">
        <v>2</v>
      </c>
      <c r="AI33">
        <v>23231410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5">
      <c r="A34">
        <f>ROW(Source!A31)</f>
        <v>31</v>
      </c>
      <c r="B34">
        <v>23231422</v>
      </c>
      <c r="C34">
        <v>23231405</v>
      </c>
      <c r="D34">
        <v>16945186</v>
      </c>
      <c r="E34">
        <v>1</v>
      </c>
      <c r="F34">
        <v>1</v>
      </c>
      <c r="G34">
        <v>16804826</v>
      </c>
      <c r="H34">
        <v>2</v>
      </c>
      <c r="I34" t="s">
        <v>211</v>
      </c>
      <c r="J34" t="s">
        <v>229</v>
      </c>
      <c r="K34" t="s">
        <v>213</v>
      </c>
      <c r="L34">
        <v>1368</v>
      </c>
      <c r="N34">
        <v>1011</v>
      </c>
      <c r="O34" t="s">
        <v>186</v>
      </c>
      <c r="P34" t="s">
        <v>186</v>
      </c>
      <c r="Q34">
        <v>1</v>
      </c>
      <c r="X34">
        <v>0.3</v>
      </c>
      <c r="Y34">
        <v>0</v>
      </c>
      <c r="Z34">
        <v>169.44</v>
      </c>
      <c r="AA34">
        <v>15.02</v>
      </c>
      <c r="AB34">
        <v>0</v>
      </c>
      <c r="AC34">
        <v>0</v>
      </c>
      <c r="AD34">
        <v>1</v>
      </c>
      <c r="AE34">
        <v>0</v>
      </c>
      <c r="AF34" t="s">
        <v>37</v>
      </c>
      <c r="AG34">
        <v>0.34499999999999997</v>
      </c>
      <c r="AH34">
        <v>2</v>
      </c>
      <c r="AI34">
        <v>23231411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5">
      <c r="A35">
        <f>ROW(Source!A31)</f>
        <v>31</v>
      </c>
      <c r="B35">
        <v>23231423</v>
      </c>
      <c r="C35">
        <v>23231405</v>
      </c>
      <c r="D35">
        <v>16945217</v>
      </c>
      <c r="E35">
        <v>1</v>
      </c>
      <c r="F35">
        <v>1</v>
      </c>
      <c r="G35">
        <v>16804826</v>
      </c>
      <c r="H35">
        <v>2</v>
      </c>
      <c r="I35" t="s">
        <v>230</v>
      </c>
      <c r="J35" t="s">
        <v>231</v>
      </c>
      <c r="K35" t="s">
        <v>232</v>
      </c>
      <c r="L35">
        <v>1368</v>
      </c>
      <c r="N35">
        <v>1011</v>
      </c>
      <c r="O35" t="s">
        <v>186</v>
      </c>
      <c r="P35" t="s">
        <v>186</v>
      </c>
      <c r="Q35">
        <v>1</v>
      </c>
      <c r="X35">
        <v>0.3</v>
      </c>
      <c r="Y35">
        <v>0</v>
      </c>
      <c r="Z35">
        <v>124.6</v>
      </c>
      <c r="AA35">
        <v>28.4</v>
      </c>
      <c r="AB35">
        <v>0</v>
      </c>
      <c r="AC35">
        <v>0</v>
      </c>
      <c r="AD35">
        <v>1</v>
      </c>
      <c r="AE35">
        <v>0</v>
      </c>
      <c r="AF35" t="s">
        <v>37</v>
      </c>
      <c r="AG35">
        <v>0.34499999999999997</v>
      </c>
      <c r="AH35">
        <v>2</v>
      </c>
      <c r="AI35">
        <v>23231412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5">
      <c r="A36">
        <f>ROW(Source!A31)</f>
        <v>31</v>
      </c>
      <c r="B36">
        <v>23231424</v>
      </c>
      <c r="C36">
        <v>23231405</v>
      </c>
      <c r="D36">
        <v>16945190</v>
      </c>
      <c r="E36">
        <v>1</v>
      </c>
      <c r="F36">
        <v>1</v>
      </c>
      <c r="G36">
        <v>16804826</v>
      </c>
      <c r="H36">
        <v>2</v>
      </c>
      <c r="I36" t="s">
        <v>233</v>
      </c>
      <c r="J36" t="s">
        <v>234</v>
      </c>
      <c r="K36" t="s">
        <v>235</v>
      </c>
      <c r="L36">
        <v>1368</v>
      </c>
      <c r="N36">
        <v>1011</v>
      </c>
      <c r="O36" t="s">
        <v>186</v>
      </c>
      <c r="P36" t="s">
        <v>186</v>
      </c>
      <c r="Q36">
        <v>1</v>
      </c>
      <c r="X36">
        <v>0.3</v>
      </c>
      <c r="Y36">
        <v>0</v>
      </c>
      <c r="Z36">
        <v>171.61</v>
      </c>
      <c r="AA36">
        <v>17.43</v>
      </c>
      <c r="AB36">
        <v>0</v>
      </c>
      <c r="AC36">
        <v>0</v>
      </c>
      <c r="AD36">
        <v>1</v>
      </c>
      <c r="AE36">
        <v>0</v>
      </c>
      <c r="AF36" t="s">
        <v>37</v>
      </c>
      <c r="AG36">
        <v>0.34499999999999997</v>
      </c>
      <c r="AH36">
        <v>2</v>
      </c>
      <c r="AI36">
        <v>23231413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5">
      <c r="A37">
        <f>ROW(Source!A31)</f>
        <v>31</v>
      </c>
      <c r="B37">
        <v>23231425</v>
      </c>
      <c r="C37">
        <v>23231405</v>
      </c>
      <c r="D37">
        <v>16945191</v>
      </c>
      <c r="E37">
        <v>1</v>
      </c>
      <c r="F37">
        <v>1</v>
      </c>
      <c r="G37">
        <v>16804826</v>
      </c>
      <c r="H37">
        <v>2</v>
      </c>
      <c r="I37" t="s">
        <v>202</v>
      </c>
      <c r="J37" t="s">
        <v>236</v>
      </c>
      <c r="K37" t="s">
        <v>204</v>
      </c>
      <c r="L37">
        <v>1368</v>
      </c>
      <c r="N37">
        <v>1011</v>
      </c>
      <c r="O37" t="s">
        <v>186</v>
      </c>
      <c r="P37" t="s">
        <v>186</v>
      </c>
      <c r="Q37">
        <v>1</v>
      </c>
      <c r="X37">
        <v>0.9</v>
      </c>
      <c r="Y37">
        <v>0</v>
      </c>
      <c r="Z37">
        <v>177.54</v>
      </c>
      <c r="AA37">
        <v>17.420000000000002</v>
      </c>
      <c r="AB37">
        <v>0</v>
      </c>
      <c r="AC37">
        <v>0</v>
      </c>
      <c r="AD37">
        <v>1</v>
      </c>
      <c r="AE37">
        <v>0</v>
      </c>
      <c r="AF37" t="s">
        <v>37</v>
      </c>
      <c r="AG37">
        <v>1.0349999999999999</v>
      </c>
      <c r="AH37">
        <v>2</v>
      </c>
      <c r="AI37">
        <v>23231414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5">
      <c r="A38">
        <f>ROW(Source!A31)</f>
        <v>31</v>
      </c>
      <c r="B38">
        <v>23231426</v>
      </c>
      <c r="C38">
        <v>23231405</v>
      </c>
      <c r="D38">
        <v>16950893</v>
      </c>
      <c r="E38">
        <v>1</v>
      </c>
      <c r="F38">
        <v>1</v>
      </c>
      <c r="G38">
        <v>16804826</v>
      </c>
      <c r="H38">
        <v>3</v>
      </c>
      <c r="I38" t="s">
        <v>237</v>
      </c>
      <c r="J38" t="s">
        <v>238</v>
      </c>
      <c r="K38" t="s">
        <v>239</v>
      </c>
      <c r="L38">
        <v>1348</v>
      </c>
      <c r="N38">
        <v>1009</v>
      </c>
      <c r="O38" t="s">
        <v>78</v>
      </c>
      <c r="P38" t="s">
        <v>78</v>
      </c>
      <c r="Q38">
        <v>1000</v>
      </c>
      <c r="X38">
        <v>0.04</v>
      </c>
      <c r="Y38">
        <v>1445.87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0.04</v>
      </c>
      <c r="AH38">
        <v>2</v>
      </c>
      <c r="AI38">
        <v>23231415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>
        <f>ROW(Source!A31)</f>
        <v>31</v>
      </c>
      <c r="B39">
        <v>23231427</v>
      </c>
      <c r="C39">
        <v>23231405</v>
      </c>
      <c r="D39">
        <v>16847237</v>
      </c>
      <c r="E39">
        <v>16804826</v>
      </c>
      <c r="F39">
        <v>1</v>
      </c>
      <c r="G39">
        <v>16804826</v>
      </c>
      <c r="H39">
        <v>3</v>
      </c>
      <c r="I39" t="s">
        <v>265</v>
      </c>
      <c r="J39" t="s">
        <v>3</v>
      </c>
      <c r="K39" t="s">
        <v>266</v>
      </c>
      <c r="L39">
        <v>1348</v>
      </c>
      <c r="N39">
        <v>1009</v>
      </c>
      <c r="O39" t="s">
        <v>78</v>
      </c>
      <c r="P39" t="s">
        <v>78</v>
      </c>
      <c r="Q39">
        <v>1000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3</v>
      </c>
      <c r="AG39">
        <v>0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A40">
        <f>ROW(Source!A33)</f>
        <v>33</v>
      </c>
      <c r="B40">
        <v>23231205</v>
      </c>
      <c r="C40">
        <v>23231203</v>
      </c>
      <c r="D40">
        <v>16804829</v>
      </c>
      <c r="E40">
        <v>16804826</v>
      </c>
      <c r="F40">
        <v>1</v>
      </c>
      <c r="G40">
        <v>16804826</v>
      </c>
      <c r="H40">
        <v>1</v>
      </c>
      <c r="I40" t="s">
        <v>177</v>
      </c>
      <c r="J40" t="s">
        <v>3</v>
      </c>
      <c r="K40" t="s">
        <v>178</v>
      </c>
      <c r="L40">
        <v>1191</v>
      </c>
      <c r="N40">
        <v>1013</v>
      </c>
      <c r="O40" t="s">
        <v>179</v>
      </c>
      <c r="P40" t="s">
        <v>179</v>
      </c>
      <c r="Q40">
        <v>1</v>
      </c>
      <c r="X40">
        <v>76.7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F40" t="s">
        <v>85</v>
      </c>
      <c r="AG40">
        <v>92.04</v>
      </c>
      <c r="AH40">
        <v>2</v>
      </c>
      <c r="AI40">
        <v>23231204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A41">
        <f>ROW(Source!A34)</f>
        <v>34</v>
      </c>
      <c r="B41">
        <v>23231216</v>
      </c>
      <c r="C41">
        <v>23231206</v>
      </c>
      <c r="D41">
        <v>16804829</v>
      </c>
      <c r="E41">
        <v>16804826</v>
      </c>
      <c r="F41">
        <v>1</v>
      </c>
      <c r="G41">
        <v>16804826</v>
      </c>
      <c r="H41">
        <v>1</v>
      </c>
      <c r="I41" t="s">
        <v>177</v>
      </c>
      <c r="J41" t="s">
        <v>3</v>
      </c>
      <c r="K41" t="s">
        <v>178</v>
      </c>
      <c r="L41">
        <v>1191</v>
      </c>
      <c r="N41">
        <v>1013</v>
      </c>
      <c r="O41" t="s">
        <v>179</v>
      </c>
      <c r="P41" t="s">
        <v>179</v>
      </c>
      <c r="Q41">
        <v>1</v>
      </c>
      <c r="X41">
        <v>63.44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37</v>
      </c>
      <c r="AG41">
        <v>72.955999999999989</v>
      </c>
      <c r="AH41">
        <v>2</v>
      </c>
      <c r="AI41">
        <v>23231207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5">
      <c r="A42">
        <f>ROW(Source!A34)</f>
        <v>34</v>
      </c>
      <c r="B42">
        <v>23231217</v>
      </c>
      <c r="C42">
        <v>23231206</v>
      </c>
      <c r="D42">
        <v>16945741</v>
      </c>
      <c r="E42">
        <v>1</v>
      </c>
      <c r="F42">
        <v>1</v>
      </c>
      <c r="G42">
        <v>16804826</v>
      </c>
      <c r="H42">
        <v>2</v>
      </c>
      <c r="I42" t="s">
        <v>240</v>
      </c>
      <c r="J42" t="s">
        <v>241</v>
      </c>
      <c r="K42" t="s">
        <v>242</v>
      </c>
      <c r="L42">
        <v>1368</v>
      </c>
      <c r="N42">
        <v>1011</v>
      </c>
      <c r="O42" t="s">
        <v>186</v>
      </c>
      <c r="P42" t="s">
        <v>186</v>
      </c>
      <c r="Q42">
        <v>1</v>
      </c>
      <c r="X42">
        <v>0.14000000000000001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37</v>
      </c>
      <c r="AG42">
        <v>0.161</v>
      </c>
      <c r="AH42">
        <v>2</v>
      </c>
      <c r="AI42">
        <v>23231208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5">
      <c r="A43">
        <f>ROW(Source!A34)</f>
        <v>34</v>
      </c>
      <c r="B43">
        <v>23231218</v>
      </c>
      <c r="C43">
        <v>23231206</v>
      </c>
      <c r="D43">
        <v>16945031</v>
      </c>
      <c r="E43">
        <v>1</v>
      </c>
      <c r="F43">
        <v>1</v>
      </c>
      <c r="G43">
        <v>16804826</v>
      </c>
      <c r="H43">
        <v>2</v>
      </c>
      <c r="I43" t="s">
        <v>243</v>
      </c>
      <c r="J43" t="s">
        <v>244</v>
      </c>
      <c r="K43" t="s">
        <v>245</v>
      </c>
      <c r="L43">
        <v>1368</v>
      </c>
      <c r="N43">
        <v>1011</v>
      </c>
      <c r="O43" t="s">
        <v>186</v>
      </c>
      <c r="P43" t="s">
        <v>186</v>
      </c>
      <c r="Q43">
        <v>1</v>
      </c>
      <c r="X43">
        <v>0.14000000000000001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37</v>
      </c>
      <c r="AG43">
        <v>0.161</v>
      </c>
      <c r="AH43">
        <v>2</v>
      </c>
      <c r="AI43">
        <v>23231209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5">
      <c r="A44">
        <f>ROW(Source!A34)</f>
        <v>34</v>
      </c>
      <c r="B44">
        <v>23231219</v>
      </c>
      <c r="C44">
        <v>23231206</v>
      </c>
      <c r="D44">
        <v>16945117</v>
      </c>
      <c r="E44">
        <v>1</v>
      </c>
      <c r="F44">
        <v>1</v>
      </c>
      <c r="G44">
        <v>16804826</v>
      </c>
      <c r="H44">
        <v>2</v>
      </c>
      <c r="I44" t="s">
        <v>246</v>
      </c>
      <c r="J44" t="s">
        <v>247</v>
      </c>
      <c r="K44" t="s">
        <v>248</v>
      </c>
      <c r="L44">
        <v>1368</v>
      </c>
      <c r="N44">
        <v>1011</v>
      </c>
      <c r="O44" t="s">
        <v>186</v>
      </c>
      <c r="P44" t="s">
        <v>186</v>
      </c>
      <c r="Q44">
        <v>1</v>
      </c>
      <c r="X44">
        <v>0.22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37</v>
      </c>
      <c r="AG44">
        <v>0.253</v>
      </c>
      <c r="AH44">
        <v>2</v>
      </c>
      <c r="AI44">
        <v>23231210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5">
      <c r="A45">
        <f>ROW(Source!A34)</f>
        <v>34</v>
      </c>
      <c r="B45">
        <v>23231220</v>
      </c>
      <c r="C45">
        <v>23231206</v>
      </c>
      <c r="D45">
        <v>16946367</v>
      </c>
      <c r="E45">
        <v>1</v>
      </c>
      <c r="F45">
        <v>1</v>
      </c>
      <c r="G45">
        <v>16804826</v>
      </c>
      <c r="H45">
        <v>3</v>
      </c>
      <c r="I45" t="s">
        <v>249</v>
      </c>
      <c r="J45" t="s">
        <v>250</v>
      </c>
      <c r="K45" t="s">
        <v>251</v>
      </c>
      <c r="L45">
        <v>1348</v>
      </c>
      <c r="N45">
        <v>1009</v>
      </c>
      <c r="O45" t="s">
        <v>78</v>
      </c>
      <c r="P45" t="s">
        <v>78</v>
      </c>
      <c r="Q45">
        <v>1000</v>
      </c>
      <c r="X45">
        <v>1E-3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1E-3</v>
      </c>
      <c r="AH45">
        <v>2</v>
      </c>
      <c r="AI45">
        <v>23231211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5">
      <c r="A46">
        <f>ROW(Source!A34)</f>
        <v>34</v>
      </c>
      <c r="B46">
        <v>23231221</v>
      </c>
      <c r="C46">
        <v>23231206</v>
      </c>
      <c r="D46">
        <v>16946470</v>
      </c>
      <c r="E46">
        <v>1</v>
      </c>
      <c r="F46">
        <v>1</v>
      </c>
      <c r="G46">
        <v>16804826</v>
      </c>
      <c r="H46">
        <v>3</v>
      </c>
      <c r="I46" t="s">
        <v>252</v>
      </c>
      <c r="J46" t="s">
        <v>253</v>
      </c>
      <c r="K46" t="s">
        <v>254</v>
      </c>
      <c r="L46">
        <v>1339</v>
      </c>
      <c r="N46">
        <v>1007</v>
      </c>
      <c r="O46" t="s">
        <v>45</v>
      </c>
      <c r="P46" t="s">
        <v>45</v>
      </c>
      <c r="Q46">
        <v>1</v>
      </c>
      <c r="X46">
        <v>0.17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0.17</v>
      </c>
      <c r="AH46">
        <v>2</v>
      </c>
      <c r="AI46">
        <v>23231212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5">
      <c r="A47">
        <f>ROW(Source!A34)</f>
        <v>34</v>
      </c>
      <c r="B47">
        <v>23231222</v>
      </c>
      <c r="C47">
        <v>23231206</v>
      </c>
      <c r="D47">
        <v>16951269</v>
      </c>
      <c r="E47">
        <v>1</v>
      </c>
      <c r="F47">
        <v>1</v>
      </c>
      <c r="G47">
        <v>16804826</v>
      </c>
      <c r="H47">
        <v>3</v>
      </c>
      <c r="I47" t="s">
        <v>255</v>
      </c>
      <c r="J47" t="s">
        <v>256</v>
      </c>
      <c r="K47" t="s">
        <v>257</v>
      </c>
      <c r="L47">
        <v>1339</v>
      </c>
      <c r="N47">
        <v>1007</v>
      </c>
      <c r="O47" t="s">
        <v>45</v>
      </c>
      <c r="P47" t="s">
        <v>45</v>
      </c>
      <c r="Q47">
        <v>1</v>
      </c>
      <c r="X47">
        <v>4.8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4.8</v>
      </c>
      <c r="AH47">
        <v>2</v>
      </c>
      <c r="AI47">
        <v>23231213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5">
      <c r="A48">
        <f>ROW(Source!A34)</f>
        <v>34</v>
      </c>
      <c r="B48">
        <v>23231223</v>
      </c>
      <c r="C48">
        <v>23231206</v>
      </c>
      <c r="D48">
        <v>16951136</v>
      </c>
      <c r="E48">
        <v>1</v>
      </c>
      <c r="F48">
        <v>1</v>
      </c>
      <c r="G48">
        <v>16804826</v>
      </c>
      <c r="H48">
        <v>3</v>
      </c>
      <c r="I48" t="s">
        <v>258</v>
      </c>
      <c r="J48" t="s">
        <v>259</v>
      </c>
      <c r="K48" t="s">
        <v>260</v>
      </c>
      <c r="L48">
        <v>1339</v>
      </c>
      <c r="N48">
        <v>1007</v>
      </c>
      <c r="O48" t="s">
        <v>45</v>
      </c>
      <c r="P48" t="s">
        <v>45</v>
      </c>
      <c r="Q48">
        <v>1</v>
      </c>
      <c r="X48">
        <v>0.02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0.02</v>
      </c>
      <c r="AH48">
        <v>2</v>
      </c>
      <c r="AI48">
        <v>23231214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5">
      <c r="A49">
        <f>ROW(Source!A34)</f>
        <v>34</v>
      </c>
      <c r="B49">
        <v>23231224</v>
      </c>
      <c r="C49">
        <v>23231206</v>
      </c>
      <c r="D49">
        <v>16854592</v>
      </c>
      <c r="E49">
        <v>16804826</v>
      </c>
      <c r="F49">
        <v>1</v>
      </c>
      <c r="G49">
        <v>16804826</v>
      </c>
      <c r="H49">
        <v>3</v>
      </c>
      <c r="I49" t="s">
        <v>267</v>
      </c>
      <c r="J49" t="s">
        <v>3</v>
      </c>
      <c r="K49" t="s">
        <v>268</v>
      </c>
      <c r="L49">
        <v>1339</v>
      </c>
      <c r="N49">
        <v>1007</v>
      </c>
      <c r="O49" t="s">
        <v>45</v>
      </c>
      <c r="P49" t="s">
        <v>45</v>
      </c>
      <c r="Q49">
        <v>1</v>
      </c>
      <c r="X49">
        <v>1.6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 t="s">
        <v>3</v>
      </c>
      <c r="AG49">
        <v>1.6</v>
      </c>
      <c r="AH49">
        <v>3</v>
      </c>
      <c r="AI49">
        <v>-1</v>
      </c>
      <c r="AJ49" t="s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5">
      <c r="A50">
        <f>ROW(Source!A36)</f>
        <v>36</v>
      </c>
      <c r="B50">
        <v>23231436</v>
      </c>
      <c r="C50">
        <v>23231435</v>
      </c>
      <c r="D50">
        <v>16804829</v>
      </c>
      <c r="E50">
        <v>16804826</v>
      </c>
      <c r="F50">
        <v>1</v>
      </c>
      <c r="G50">
        <v>16804826</v>
      </c>
      <c r="H50">
        <v>1</v>
      </c>
      <c r="I50" t="s">
        <v>177</v>
      </c>
      <c r="J50" t="s">
        <v>3</v>
      </c>
      <c r="K50" t="s">
        <v>178</v>
      </c>
      <c r="L50">
        <v>1191</v>
      </c>
      <c r="N50">
        <v>1013</v>
      </c>
      <c r="O50" t="s">
        <v>179</v>
      </c>
      <c r="P50" t="s">
        <v>179</v>
      </c>
      <c r="Q50">
        <v>1</v>
      </c>
      <c r="X50">
        <v>40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1</v>
      </c>
      <c r="AF50" t="s">
        <v>37</v>
      </c>
      <c r="AG50">
        <v>46</v>
      </c>
      <c r="AH50">
        <v>2</v>
      </c>
      <c r="AI50">
        <v>23231436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5">
      <c r="A51">
        <f>ROW(Source!A36)</f>
        <v>36</v>
      </c>
      <c r="B51">
        <v>23231437</v>
      </c>
      <c r="C51">
        <v>23231435</v>
      </c>
      <c r="D51">
        <v>16859818</v>
      </c>
      <c r="E51">
        <v>16804826</v>
      </c>
      <c r="F51">
        <v>1</v>
      </c>
      <c r="G51">
        <v>16804826</v>
      </c>
      <c r="H51">
        <v>3</v>
      </c>
      <c r="I51" t="s">
        <v>269</v>
      </c>
      <c r="J51" t="s">
        <v>3</v>
      </c>
      <c r="K51" t="s">
        <v>105</v>
      </c>
      <c r="L51">
        <v>1339</v>
      </c>
      <c r="N51">
        <v>1007</v>
      </c>
      <c r="O51" t="s">
        <v>45</v>
      </c>
      <c r="P51" t="s">
        <v>45</v>
      </c>
      <c r="Q51">
        <v>1</v>
      </c>
      <c r="X51">
        <v>15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 t="s">
        <v>3</v>
      </c>
      <c r="AG51">
        <v>15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5">
      <c r="A52">
        <f>ROW(Source!A38)</f>
        <v>38</v>
      </c>
      <c r="B52">
        <v>23231466</v>
      </c>
      <c r="C52">
        <v>23231465</v>
      </c>
      <c r="D52">
        <v>16804829</v>
      </c>
      <c r="E52">
        <v>16804826</v>
      </c>
      <c r="F52">
        <v>1</v>
      </c>
      <c r="G52">
        <v>16804826</v>
      </c>
      <c r="H52">
        <v>1</v>
      </c>
      <c r="I52" t="s">
        <v>177</v>
      </c>
      <c r="J52" t="s">
        <v>3</v>
      </c>
      <c r="K52" t="s">
        <v>178</v>
      </c>
      <c r="L52">
        <v>1191</v>
      </c>
      <c r="N52">
        <v>1013</v>
      </c>
      <c r="O52" t="s">
        <v>179</v>
      </c>
      <c r="P52" t="s">
        <v>179</v>
      </c>
      <c r="Q52">
        <v>1</v>
      </c>
      <c r="X52">
        <v>5.25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37</v>
      </c>
      <c r="AG52">
        <v>6.0374999999999996</v>
      </c>
      <c r="AH52">
        <v>2</v>
      </c>
      <c r="AI52">
        <v>23231466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5">
      <c r="A53">
        <f>ROW(Source!A38)</f>
        <v>38</v>
      </c>
      <c r="B53">
        <v>23231467</v>
      </c>
      <c r="C53">
        <v>23231465</v>
      </c>
      <c r="D53">
        <v>16946353</v>
      </c>
      <c r="E53">
        <v>1</v>
      </c>
      <c r="F53">
        <v>1</v>
      </c>
      <c r="G53">
        <v>16804826</v>
      </c>
      <c r="H53">
        <v>3</v>
      </c>
      <c r="I53" t="s">
        <v>205</v>
      </c>
      <c r="J53" t="s">
        <v>206</v>
      </c>
      <c r="K53" t="s">
        <v>207</v>
      </c>
      <c r="L53">
        <v>1339</v>
      </c>
      <c r="N53">
        <v>1007</v>
      </c>
      <c r="O53" t="s">
        <v>45</v>
      </c>
      <c r="P53" t="s">
        <v>45</v>
      </c>
      <c r="Q53">
        <v>1</v>
      </c>
      <c r="X53">
        <v>10</v>
      </c>
      <c r="Y53">
        <v>7.07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10</v>
      </c>
      <c r="AH53">
        <v>2</v>
      </c>
      <c r="AI53">
        <v>23231467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5">
      <c r="A54">
        <f>ROW(Source!A38)</f>
        <v>38</v>
      </c>
      <c r="B54">
        <v>23231468</v>
      </c>
      <c r="C54">
        <v>23231465</v>
      </c>
      <c r="D54">
        <v>16859501</v>
      </c>
      <c r="E54">
        <v>16804826</v>
      </c>
      <c r="F54">
        <v>1</v>
      </c>
      <c r="G54">
        <v>16804826</v>
      </c>
      <c r="H54">
        <v>3</v>
      </c>
      <c r="I54" t="s">
        <v>270</v>
      </c>
      <c r="J54" t="s">
        <v>3</v>
      </c>
      <c r="K54" t="s">
        <v>271</v>
      </c>
      <c r="L54">
        <v>1346</v>
      </c>
      <c r="N54">
        <v>1009</v>
      </c>
      <c r="O54" t="s">
        <v>114</v>
      </c>
      <c r="P54" t="s">
        <v>114</v>
      </c>
      <c r="Q54">
        <v>1</v>
      </c>
      <c r="X54">
        <v>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3</v>
      </c>
      <c r="AG54">
        <v>4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2020-12-08T06:13:59Z</cp:lastPrinted>
  <dcterms:created xsi:type="dcterms:W3CDTF">2020-12-08T06:11:44Z</dcterms:created>
  <dcterms:modified xsi:type="dcterms:W3CDTF">2021-06-09T11:17:25Z</dcterms:modified>
</cp:coreProperties>
</file>